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autoCompressPictures="0" defaultThemeVersion="124226"/>
  <bookViews>
    <workbookView xWindow="0" yWindow="0" windowWidth="19320" windowHeight="11640" tabRatio="676" firstSheet="1" activeTab="5"/>
  </bookViews>
  <sheets>
    <sheet name="Исходные данные общие" sheetId="28" r:id="rId1"/>
    <sheet name="Исходные данные тепло" sheetId="27" r:id="rId2"/>
    <sheet name="Расчет тарифа тепло" sheetId="14" r:id="rId3"/>
    <sheet name="Амортизация тепло" sheetId="25" r:id="rId4"/>
    <sheet name="Кредит тепло" sheetId="16" r:id="rId5"/>
    <sheet name="Бюджетная эффективность" sheetId="29" r:id="rId6"/>
  </sheets>
  <externalReferences>
    <externalReference r:id="rId7"/>
  </externalReferenc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4" l="1"/>
  <c r="E22" i="14"/>
  <c r="F23" i="14"/>
  <c r="F24" i="14"/>
  <c r="F22" i="14"/>
  <c r="F5" i="27"/>
  <c r="F57" i="27"/>
  <c r="F101" i="27"/>
  <c r="G101" i="27"/>
  <c r="F56" i="14"/>
  <c r="F2" i="27"/>
  <c r="F16" i="27"/>
  <c r="D18" i="14"/>
  <c r="G87" i="27"/>
  <c r="F89" i="27"/>
  <c r="G89" i="27"/>
  <c r="G91" i="27"/>
  <c r="F91" i="27"/>
  <c r="G92" i="27"/>
  <c r="E18" i="14"/>
  <c r="H88" i="27"/>
  <c r="H87" i="27"/>
  <c r="H90" i="27"/>
  <c r="H89" i="27"/>
  <c r="H91" i="27"/>
  <c r="H92" i="27"/>
  <c r="F18" i="14"/>
  <c r="F14" i="27"/>
  <c r="F96" i="27"/>
  <c r="G96" i="27"/>
  <c r="H96" i="27"/>
  <c r="F17" i="14"/>
  <c r="F16" i="14"/>
  <c r="F14" i="14"/>
  <c r="F9" i="14"/>
  <c r="D11" i="14"/>
  <c r="E11" i="14"/>
  <c r="F11" i="14"/>
  <c r="D13" i="14"/>
  <c r="E13" i="14"/>
  <c r="F13" i="14"/>
  <c r="F8" i="14"/>
  <c r="F6" i="14"/>
  <c r="F5" i="14"/>
  <c r="F55" i="14"/>
  <c r="D54" i="14"/>
  <c r="E54" i="14"/>
  <c r="F54" i="14"/>
  <c r="F53" i="14"/>
  <c r="C17" i="25"/>
  <c r="C18" i="25"/>
  <c r="D16" i="25"/>
  <c r="C5" i="25"/>
  <c r="D5" i="25"/>
  <c r="D11" i="25"/>
  <c r="D17" i="25"/>
  <c r="D18" i="25"/>
  <c r="D19" i="25"/>
  <c r="D20" i="25"/>
  <c r="F65" i="14"/>
  <c r="D66" i="14"/>
  <c r="E66" i="14"/>
  <c r="F66" i="14"/>
  <c r="D67" i="14"/>
  <c r="E67" i="14"/>
  <c r="F67" i="14"/>
  <c r="F64" i="14"/>
  <c r="F76" i="14"/>
  <c r="D26" i="25"/>
  <c r="D32" i="25"/>
  <c r="F75" i="14"/>
  <c r="E56" i="14"/>
  <c r="D5" i="14"/>
  <c r="E5" i="14"/>
  <c r="E55" i="14"/>
  <c r="E53" i="14"/>
  <c r="D65" i="14"/>
  <c r="D64" i="14"/>
  <c r="E64" i="14"/>
  <c r="D68" i="14"/>
  <c r="E68" i="14"/>
  <c r="D69" i="14"/>
  <c r="E69" i="14"/>
  <c r="F54" i="27"/>
  <c r="D53" i="14"/>
  <c r="D70" i="14"/>
  <c r="D71" i="14"/>
  <c r="D72" i="14"/>
  <c r="D73" i="14"/>
  <c r="D74" i="14"/>
  <c r="D63" i="14"/>
  <c r="F29" i="27"/>
  <c r="D28" i="14"/>
  <c r="F35" i="27"/>
  <c r="D34" i="14"/>
  <c r="D40" i="14"/>
  <c r="F47" i="27"/>
  <c r="D46" i="14"/>
  <c r="D26" i="14"/>
  <c r="F58" i="27"/>
  <c r="D57" i="14"/>
  <c r="D21" i="14"/>
  <c r="D75" i="14"/>
  <c r="D76" i="14"/>
  <c r="D19" i="14"/>
  <c r="E91" i="27"/>
  <c r="E70" i="14"/>
  <c r="E71" i="14"/>
  <c r="E72" i="14"/>
  <c r="E73" i="14"/>
  <c r="E74" i="14"/>
  <c r="E63" i="14"/>
  <c r="D29" i="14"/>
  <c r="E29" i="14"/>
  <c r="D30" i="14"/>
  <c r="E30" i="14"/>
  <c r="E28" i="14"/>
  <c r="D35" i="14"/>
  <c r="E35" i="14"/>
  <c r="E34" i="14"/>
  <c r="D41" i="14"/>
  <c r="E41" i="14"/>
  <c r="E42" i="14"/>
  <c r="E40" i="14"/>
  <c r="D47" i="14"/>
  <c r="E47" i="14"/>
  <c r="E46" i="14"/>
  <c r="E26" i="14"/>
  <c r="D58" i="14"/>
  <c r="E58" i="14"/>
  <c r="F61" i="27"/>
  <c r="F102" i="27"/>
  <c r="E60" i="14"/>
  <c r="E59" i="14"/>
  <c r="D61" i="14"/>
  <c r="E61" i="14"/>
  <c r="D62" i="14"/>
  <c r="D59" i="14"/>
  <c r="E62" i="14"/>
  <c r="E57" i="14"/>
  <c r="E21" i="14"/>
  <c r="E75" i="14"/>
  <c r="B105" i="27"/>
  <c r="E76" i="14"/>
  <c r="E65" i="14"/>
  <c r="E78" i="14"/>
  <c r="E19" i="14"/>
  <c r="F70" i="14"/>
  <c r="F78" i="14"/>
  <c r="F68" i="14"/>
  <c r="F69" i="14"/>
  <c r="F71" i="14"/>
  <c r="F72" i="14"/>
  <c r="F73" i="14"/>
  <c r="F74" i="14"/>
  <c r="F63" i="14"/>
  <c r="F29" i="14"/>
  <c r="F32" i="14"/>
  <c r="F33" i="14"/>
  <c r="F30" i="14"/>
  <c r="F28" i="14"/>
  <c r="F35" i="14"/>
  <c r="F34" i="14"/>
  <c r="F40" i="14"/>
  <c r="F47" i="14"/>
  <c r="F46" i="14"/>
  <c r="F26" i="14"/>
  <c r="F58" i="14"/>
  <c r="G102" i="27"/>
  <c r="F60" i="14"/>
  <c r="F59" i="14"/>
  <c r="F61" i="14"/>
  <c r="F62" i="14"/>
  <c r="F57" i="14"/>
  <c r="F21" i="14"/>
  <c r="F19" i="14"/>
  <c r="F81" i="14"/>
  <c r="E93" i="14"/>
  <c r="E100" i="14"/>
  <c r="E88" i="14"/>
  <c r="E89" i="14"/>
  <c r="E101" i="14"/>
  <c r="B13" i="16"/>
  <c r="B6" i="16"/>
  <c r="E95" i="14"/>
  <c r="E102" i="14"/>
  <c r="C180" i="27"/>
  <c r="E103" i="14"/>
  <c r="J13" i="16"/>
  <c r="F89" i="14"/>
  <c r="C13" i="16"/>
  <c r="G89" i="14"/>
  <c r="D13" i="16"/>
  <c r="H89" i="14"/>
  <c r="E13" i="16"/>
  <c r="I89" i="14"/>
  <c r="F13" i="16"/>
  <c r="J89" i="14"/>
  <c r="G13" i="16"/>
  <c r="K89" i="14"/>
  <c r="H13" i="16"/>
  <c r="L89" i="14"/>
  <c r="I13" i="16"/>
  <c r="B1" i="16"/>
  <c r="B19" i="16"/>
  <c r="C1" i="16"/>
  <c r="C19" i="16"/>
  <c r="D1" i="16"/>
  <c r="D19" i="16"/>
  <c r="E1" i="16"/>
  <c r="E19" i="16"/>
  <c r="F1" i="16"/>
  <c r="F19" i="16"/>
  <c r="J16" i="16"/>
  <c r="J6" i="16" s="1"/>
  <c r="M95" i="14" s="1"/>
  <c r="I16" i="16"/>
  <c r="M76" i="14"/>
  <c r="E5" i="25"/>
  <c r="F5" i="25"/>
  <c r="G5" i="25"/>
  <c r="H5" i="25"/>
  <c r="I5" i="25"/>
  <c r="J5" i="25"/>
  <c r="K5" i="25"/>
  <c r="K26" i="25"/>
  <c r="D25" i="25"/>
  <c r="E27" i="25"/>
  <c r="F27" i="25"/>
  <c r="G27" i="25"/>
  <c r="H27" i="25"/>
  <c r="I27" i="25"/>
  <c r="J27" i="25"/>
  <c r="K27" i="25"/>
  <c r="F88" i="14"/>
  <c r="E25" i="25"/>
  <c r="F28" i="25"/>
  <c r="G28" i="25"/>
  <c r="H28" i="25"/>
  <c r="I28" i="25"/>
  <c r="J28" i="25"/>
  <c r="K28" i="25"/>
  <c r="G88" i="14"/>
  <c r="F25" i="25"/>
  <c r="G29" i="25"/>
  <c r="H29" i="25"/>
  <c r="I29" i="25"/>
  <c r="J29" i="25"/>
  <c r="K29" i="25"/>
  <c r="I88" i="14"/>
  <c r="H25" i="25"/>
  <c r="H30" i="25"/>
  <c r="I30" i="25"/>
  <c r="J30" i="25"/>
  <c r="K30" i="25"/>
  <c r="I31" i="25"/>
  <c r="J31" i="25"/>
  <c r="K31" i="25"/>
  <c r="K32" i="25"/>
  <c r="M75" i="14"/>
  <c r="M93" i="14"/>
  <c r="L88" i="14"/>
  <c r="M94" i="14"/>
  <c r="M100" i="14"/>
  <c r="M88" i="14"/>
  <c r="M89" i="14"/>
  <c r="M97" i="14"/>
  <c r="M101" i="14"/>
  <c r="B132" i="27"/>
  <c r="D158" i="27"/>
  <c r="D151" i="27"/>
  <c r="D168" i="27"/>
  <c r="B133" i="27"/>
  <c r="D159" i="27"/>
  <c r="D152" i="27"/>
  <c r="D169" i="27"/>
  <c r="B137" i="27"/>
  <c r="D160" i="27"/>
  <c r="D161" i="27"/>
  <c r="D153" i="27"/>
  <c r="D170" i="27"/>
  <c r="D162" i="27"/>
  <c r="D163" i="27"/>
  <c r="C146" i="27"/>
  <c r="D146" i="27"/>
  <c r="D154" i="27"/>
  <c r="D171" i="27"/>
  <c r="D172" i="27"/>
  <c r="D147" i="27"/>
  <c r="D173" i="27"/>
  <c r="D174" i="27"/>
  <c r="D179" i="27"/>
  <c r="E158" i="27"/>
  <c r="E143" i="27"/>
  <c r="E151" i="27"/>
  <c r="E168" i="27"/>
  <c r="E159" i="27"/>
  <c r="E144" i="27"/>
  <c r="E152" i="27"/>
  <c r="E169" i="27"/>
  <c r="E160" i="27"/>
  <c r="E161" i="27"/>
  <c r="E153" i="27"/>
  <c r="E170" i="27"/>
  <c r="E162" i="27"/>
  <c r="E163" i="27"/>
  <c r="E146" i="27"/>
  <c r="E154" i="27"/>
  <c r="E171" i="27"/>
  <c r="E172" i="27"/>
  <c r="E147" i="27"/>
  <c r="E173" i="27"/>
  <c r="E174" i="27"/>
  <c r="E179" i="27"/>
  <c r="F158" i="27"/>
  <c r="F143" i="27"/>
  <c r="F151" i="27"/>
  <c r="F168" i="27"/>
  <c r="F159" i="27"/>
  <c r="F144" i="27"/>
  <c r="F152" i="27"/>
  <c r="F169" i="27"/>
  <c r="F160" i="27"/>
  <c r="F161" i="27"/>
  <c r="F153" i="27"/>
  <c r="F170" i="27"/>
  <c r="F162" i="27"/>
  <c r="F163" i="27"/>
  <c r="F146" i="27"/>
  <c r="F154" i="27"/>
  <c r="F171" i="27"/>
  <c r="F172" i="27"/>
  <c r="F147" i="27"/>
  <c r="F173" i="27"/>
  <c r="F174" i="27"/>
  <c r="F179" i="27"/>
  <c r="G158" i="27"/>
  <c r="G143" i="27"/>
  <c r="G151" i="27"/>
  <c r="G168" i="27"/>
  <c r="G159" i="27"/>
  <c r="G144" i="27"/>
  <c r="G152" i="27"/>
  <c r="G169" i="27"/>
  <c r="G160" i="27"/>
  <c r="G161" i="27"/>
  <c r="G153" i="27"/>
  <c r="G170" i="27"/>
  <c r="G162" i="27"/>
  <c r="G163" i="27"/>
  <c r="G154" i="27"/>
  <c r="G171" i="27"/>
  <c r="G172" i="27"/>
  <c r="G147" i="27"/>
  <c r="G173" i="27"/>
  <c r="G174" i="27"/>
  <c r="G179" i="27"/>
  <c r="H158" i="27"/>
  <c r="H143" i="27"/>
  <c r="H151" i="27"/>
  <c r="H168" i="27"/>
  <c r="H159" i="27"/>
  <c r="H144" i="27"/>
  <c r="H152" i="27"/>
  <c r="H169" i="27"/>
  <c r="H160" i="27"/>
  <c r="H161" i="27"/>
  <c r="H153" i="27"/>
  <c r="H170" i="27"/>
  <c r="H162" i="27"/>
  <c r="H163" i="27"/>
  <c r="H146" i="27"/>
  <c r="H154" i="27"/>
  <c r="H171" i="27"/>
  <c r="H172" i="27"/>
  <c r="H147" i="27"/>
  <c r="H173" i="27"/>
  <c r="H174" i="27"/>
  <c r="H179" i="27"/>
  <c r="I158" i="27"/>
  <c r="I143" i="27"/>
  <c r="I151" i="27"/>
  <c r="I168" i="27"/>
  <c r="I159" i="27"/>
  <c r="I144" i="27"/>
  <c r="I152" i="27"/>
  <c r="I169" i="27"/>
  <c r="I160" i="27"/>
  <c r="I161" i="27"/>
  <c r="I153" i="27"/>
  <c r="I170" i="27"/>
  <c r="I162" i="27"/>
  <c r="I163" i="27"/>
  <c r="I146" i="27"/>
  <c r="I154" i="27"/>
  <c r="I171" i="27"/>
  <c r="I172" i="27"/>
  <c r="I147" i="27"/>
  <c r="I173" i="27"/>
  <c r="I174" i="27"/>
  <c r="I179" i="27"/>
  <c r="J158" i="27"/>
  <c r="J143" i="27"/>
  <c r="J151" i="27"/>
  <c r="J168" i="27"/>
  <c r="J159" i="27"/>
  <c r="J144" i="27"/>
  <c r="J152" i="27"/>
  <c r="J169" i="27"/>
  <c r="J160" i="27"/>
  <c r="J161" i="27"/>
  <c r="J153" i="27"/>
  <c r="J170" i="27"/>
  <c r="J162" i="27"/>
  <c r="J163" i="27"/>
  <c r="J146" i="27"/>
  <c r="J154" i="27"/>
  <c r="J171" i="27"/>
  <c r="J172" i="27"/>
  <c r="J147" i="27"/>
  <c r="J173" i="27"/>
  <c r="J174" i="27"/>
  <c r="J179" i="27"/>
  <c r="K158" i="27"/>
  <c r="K143" i="27"/>
  <c r="K151" i="27"/>
  <c r="K168" i="27"/>
  <c r="K159" i="27"/>
  <c r="K144" i="27"/>
  <c r="K152" i="27"/>
  <c r="K169" i="27"/>
  <c r="K160" i="27"/>
  <c r="K161" i="27"/>
  <c r="K153" i="27"/>
  <c r="K170" i="27"/>
  <c r="K162" i="27"/>
  <c r="K163" i="27"/>
  <c r="K154" i="27"/>
  <c r="K171" i="27"/>
  <c r="K172" i="27"/>
  <c r="K147" i="27"/>
  <c r="K173" i="27"/>
  <c r="K174" i="27"/>
  <c r="K179" i="27"/>
  <c r="K180" i="27"/>
  <c r="K13" i="16"/>
  <c r="K16" i="16"/>
  <c r="K6" i="16" s="1"/>
  <c r="N95" i="14" s="1"/>
  <c r="N76" i="14"/>
  <c r="L5" i="25"/>
  <c r="L26" i="25"/>
  <c r="L27" i="25"/>
  <c r="L28" i="25"/>
  <c r="L29" i="25"/>
  <c r="L30" i="25"/>
  <c r="L31" i="25"/>
  <c r="L32" i="25"/>
  <c r="N75" i="14"/>
  <c r="N93" i="14"/>
  <c r="N94" i="14"/>
  <c r="N100" i="14"/>
  <c r="N88" i="14"/>
  <c r="N89" i="14"/>
  <c r="N97" i="14"/>
  <c r="N101" i="14"/>
  <c r="L158" i="27"/>
  <c r="L143" i="27"/>
  <c r="L151" i="27"/>
  <c r="L168" i="27"/>
  <c r="L159" i="27"/>
  <c r="L144" i="27"/>
  <c r="L152" i="27"/>
  <c r="L169" i="27"/>
  <c r="L160" i="27"/>
  <c r="L161" i="27"/>
  <c r="L153" i="27"/>
  <c r="L170" i="27"/>
  <c r="L162" i="27"/>
  <c r="L163" i="27"/>
  <c r="L154" i="27"/>
  <c r="L171" i="27"/>
  <c r="L172" i="27"/>
  <c r="L147" i="27"/>
  <c r="L173" i="27"/>
  <c r="L174" i="27"/>
  <c r="L179" i="27"/>
  <c r="L180" i="27"/>
  <c r="F93" i="14"/>
  <c r="F94" i="14"/>
  <c r="F100" i="14"/>
  <c r="F97" i="14"/>
  <c r="F101" i="14"/>
  <c r="B16" i="16"/>
  <c r="C16" i="16"/>
  <c r="C6" i="16"/>
  <c r="F95" i="14"/>
  <c r="F102" i="14"/>
  <c r="D180" i="27"/>
  <c r="F103" i="14"/>
  <c r="G76" i="14"/>
  <c r="E26" i="25"/>
  <c r="E32" i="25"/>
  <c r="G75" i="14"/>
  <c r="G93" i="14"/>
  <c r="G94" i="14"/>
  <c r="G100" i="14"/>
  <c r="G97" i="14"/>
  <c r="G101" i="14"/>
  <c r="D16" i="16"/>
  <c r="D6" i="16"/>
  <c r="G95" i="14"/>
  <c r="G102" i="14"/>
  <c r="E180" i="27"/>
  <c r="G103" i="14"/>
  <c r="H76" i="14"/>
  <c r="F26" i="25"/>
  <c r="F32" i="25"/>
  <c r="H75" i="14"/>
  <c r="H93" i="14"/>
  <c r="H94" i="14"/>
  <c r="H100" i="14"/>
  <c r="H88" i="14"/>
  <c r="H97" i="14"/>
  <c r="H101" i="14"/>
  <c r="E16" i="16"/>
  <c r="E6" i="16"/>
  <c r="H95" i="14"/>
  <c r="H102" i="14"/>
  <c r="F180" i="27"/>
  <c r="H103" i="14"/>
  <c r="I76" i="14"/>
  <c r="G26" i="25"/>
  <c r="G32" i="25"/>
  <c r="I75" i="14"/>
  <c r="I93" i="14"/>
  <c r="I94" i="14"/>
  <c r="I100" i="14"/>
  <c r="I97" i="14"/>
  <c r="I101" i="14"/>
  <c r="F16" i="16"/>
  <c r="F6" i="16"/>
  <c r="I95" i="14"/>
  <c r="I102" i="14"/>
  <c r="G180" i="27"/>
  <c r="I103" i="14"/>
  <c r="J76" i="14"/>
  <c r="H26" i="25"/>
  <c r="H32" i="25"/>
  <c r="J75" i="14"/>
  <c r="J93" i="14"/>
  <c r="J94" i="14"/>
  <c r="J100" i="14"/>
  <c r="J88" i="14"/>
  <c r="J97" i="14"/>
  <c r="J101" i="14"/>
  <c r="G16" i="16"/>
  <c r="G6" i="16"/>
  <c r="J95" i="14"/>
  <c r="J102" i="14"/>
  <c r="H180" i="27"/>
  <c r="J103" i="14"/>
  <c r="K76" i="14"/>
  <c r="I26" i="25"/>
  <c r="I32" i="25"/>
  <c r="K75" i="14"/>
  <c r="K93" i="14"/>
  <c r="K94" i="14"/>
  <c r="K100" i="14"/>
  <c r="K88" i="14"/>
  <c r="K97" i="14"/>
  <c r="K101" i="14"/>
  <c r="H16" i="16"/>
  <c r="H6" i="16"/>
  <c r="K95" i="14"/>
  <c r="K102" i="14"/>
  <c r="I180" i="27"/>
  <c r="K103" i="14"/>
  <c r="L76" i="14"/>
  <c r="J26" i="25"/>
  <c r="J32" i="25"/>
  <c r="L75" i="14"/>
  <c r="L93" i="14"/>
  <c r="L94" i="14"/>
  <c r="L100" i="14"/>
  <c r="L97" i="14"/>
  <c r="L101" i="14"/>
  <c r="I6" i="16"/>
  <c r="L95" i="14"/>
  <c r="L102" i="14"/>
  <c r="J180" i="27"/>
  <c r="L103" i="14"/>
  <c r="G23" i="14"/>
  <c r="G24" i="14"/>
  <c r="G22" i="14"/>
  <c r="H101" i="27"/>
  <c r="G56" i="14"/>
  <c r="G6" i="14"/>
  <c r="G5" i="14"/>
  <c r="G55" i="14"/>
  <c r="G54" i="14"/>
  <c r="G53" i="14"/>
  <c r="E86" i="14"/>
  <c r="E87" i="14"/>
  <c r="E85" i="14"/>
  <c r="D4" i="25"/>
  <c r="E16" i="25"/>
  <c r="E6" i="25"/>
  <c r="E11" i="25"/>
  <c r="E17" i="25"/>
  <c r="E18" i="25"/>
  <c r="E19" i="25"/>
  <c r="E20" i="25"/>
  <c r="G65" i="14"/>
  <c r="G66" i="14"/>
  <c r="G67" i="14"/>
  <c r="G64" i="14"/>
  <c r="G70" i="14"/>
  <c r="G78" i="14"/>
  <c r="G68" i="14"/>
  <c r="G69" i="14"/>
  <c r="G71" i="14"/>
  <c r="G72" i="14"/>
  <c r="G73" i="14"/>
  <c r="G74" i="14"/>
  <c r="G63" i="14"/>
  <c r="G29" i="14"/>
  <c r="G32" i="14"/>
  <c r="G33" i="14"/>
  <c r="I88" i="27"/>
  <c r="I87" i="27"/>
  <c r="I90" i="27"/>
  <c r="I89" i="27"/>
  <c r="I91" i="27"/>
  <c r="I92" i="27"/>
  <c r="G18" i="14"/>
  <c r="I96" i="27"/>
  <c r="G17" i="14"/>
  <c r="G16" i="14"/>
  <c r="G14" i="14"/>
  <c r="G9" i="14"/>
  <c r="G30" i="14"/>
  <c r="G28" i="14"/>
  <c r="G35" i="14"/>
  <c r="G34" i="14"/>
  <c r="G40" i="14"/>
  <c r="G47" i="14"/>
  <c r="G46" i="14"/>
  <c r="G26" i="14"/>
  <c r="G58" i="14"/>
  <c r="H102" i="27"/>
  <c r="G60" i="14"/>
  <c r="G59" i="14"/>
  <c r="G61" i="14"/>
  <c r="G62" i="14"/>
  <c r="G57" i="14"/>
  <c r="G21" i="14"/>
  <c r="G19" i="14"/>
  <c r="G80" i="14"/>
  <c r="G79" i="14"/>
  <c r="H23" i="14"/>
  <c r="H24" i="14"/>
  <c r="H22" i="14"/>
  <c r="I101" i="27"/>
  <c r="H56" i="14"/>
  <c r="H6" i="14"/>
  <c r="H5" i="14"/>
  <c r="H55" i="14"/>
  <c r="H54" i="14"/>
  <c r="H53" i="14"/>
  <c r="F16" i="25"/>
  <c r="F6" i="25"/>
  <c r="F7" i="25"/>
  <c r="F11" i="25"/>
  <c r="F17" i="25"/>
  <c r="F18" i="25"/>
  <c r="F19" i="25"/>
  <c r="F20" i="25"/>
  <c r="H65" i="14"/>
  <c r="H66" i="14"/>
  <c r="H67" i="14"/>
  <c r="H64" i="14"/>
  <c r="H70" i="14"/>
  <c r="H78" i="14"/>
  <c r="H68" i="14"/>
  <c r="H69" i="14"/>
  <c r="H71" i="14"/>
  <c r="H72" i="14"/>
  <c r="H73" i="14"/>
  <c r="H74" i="14"/>
  <c r="H63" i="14"/>
  <c r="H29" i="14"/>
  <c r="H32" i="14"/>
  <c r="H33" i="14"/>
  <c r="J87" i="27"/>
  <c r="J89" i="27"/>
  <c r="J91" i="27"/>
  <c r="J92" i="27"/>
  <c r="H18" i="14"/>
  <c r="J96" i="27"/>
  <c r="H17" i="14"/>
  <c r="H16" i="14"/>
  <c r="H14" i="14"/>
  <c r="H9" i="14"/>
  <c r="H30" i="14"/>
  <c r="H28" i="14"/>
  <c r="H35" i="14"/>
  <c r="H34" i="14"/>
  <c r="H40" i="14"/>
  <c r="H47" i="14"/>
  <c r="H46" i="14"/>
  <c r="H26" i="14"/>
  <c r="H58" i="14"/>
  <c r="I102" i="27"/>
  <c r="H60" i="14"/>
  <c r="H59" i="14"/>
  <c r="H61" i="14"/>
  <c r="H62" i="14"/>
  <c r="H57" i="14"/>
  <c r="H21" i="14"/>
  <c r="H19" i="14"/>
  <c r="G81" i="14"/>
  <c r="H80" i="14"/>
  <c r="H79" i="14"/>
  <c r="I23" i="14"/>
  <c r="I24" i="14"/>
  <c r="I22" i="14"/>
  <c r="J101" i="27"/>
  <c r="I56" i="14"/>
  <c r="I6" i="14"/>
  <c r="I5" i="14"/>
  <c r="I55" i="14"/>
  <c r="I54" i="14"/>
  <c r="I53" i="14"/>
  <c r="G16" i="25"/>
  <c r="G6" i="25"/>
  <c r="G7" i="25"/>
  <c r="G8" i="25"/>
  <c r="G11" i="25"/>
  <c r="G17" i="25"/>
  <c r="G18" i="25"/>
  <c r="G19" i="25"/>
  <c r="G20" i="25"/>
  <c r="I65" i="14"/>
  <c r="I66" i="14"/>
  <c r="I67" i="14"/>
  <c r="I64" i="14"/>
  <c r="I70" i="14"/>
  <c r="I78" i="14"/>
  <c r="I68" i="14"/>
  <c r="I69" i="14"/>
  <c r="I71" i="14"/>
  <c r="I72" i="14"/>
  <c r="I73" i="14"/>
  <c r="I74" i="14"/>
  <c r="I63" i="14"/>
  <c r="I29" i="14"/>
  <c r="I32" i="14"/>
  <c r="I33" i="14"/>
  <c r="K88" i="27"/>
  <c r="K87" i="27"/>
  <c r="K89" i="27"/>
  <c r="K91" i="27"/>
  <c r="K92" i="27"/>
  <c r="I18" i="14"/>
  <c r="K96" i="27"/>
  <c r="I17" i="14"/>
  <c r="I16" i="14"/>
  <c r="I14" i="14"/>
  <c r="I9" i="14"/>
  <c r="I30" i="14"/>
  <c r="I28" i="14"/>
  <c r="I35" i="14"/>
  <c r="I34" i="14"/>
  <c r="I40" i="14"/>
  <c r="I47" i="14"/>
  <c r="I46" i="14"/>
  <c r="I26" i="14"/>
  <c r="I58" i="14"/>
  <c r="J102" i="27"/>
  <c r="I60" i="14"/>
  <c r="I59" i="14"/>
  <c r="I61" i="14"/>
  <c r="I62" i="14"/>
  <c r="I57" i="14"/>
  <c r="I21" i="14"/>
  <c r="I19" i="14"/>
  <c r="H81" i="14"/>
  <c r="I80" i="14"/>
  <c r="I79" i="14"/>
  <c r="J23" i="14"/>
  <c r="J24" i="14"/>
  <c r="J22" i="14"/>
  <c r="K101" i="27"/>
  <c r="J56" i="14"/>
  <c r="J6" i="14"/>
  <c r="J5" i="14"/>
  <c r="J55" i="14"/>
  <c r="J54" i="14"/>
  <c r="J53" i="14"/>
  <c r="H16" i="25"/>
  <c r="H6" i="25"/>
  <c r="H7" i="25"/>
  <c r="H8" i="25"/>
  <c r="H9" i="25"/>
  <c r="H11" i="25"/>
  <c r="H17" i="25"/>
  <c r="H18" i="25"/>
  <c r="H19" i="25"/>
  <c r="H20" i="25"/>
  <c r="J65" i="14"/>
  <c r="J66" i="14"/>
  <c r="J67" i="14"/>
  <c r="J64" i="14"/>
  <c r="J70" i="14"/>
  <c r="J78" i="14"/>
  <c r="J68" i="14"/>
  <c r="J69" i="14"/>
  <c r="J71" i="14"/>
  <c r="J72" i="14"/>
  <c r="J73" i="14"/>
  <c r="J74" i="14"/>
  <c r="J63" i="14"/>
  <c r="J29" i="14"/>
  <c r="J32" i="14"/>
  <c r="J33" i="14"/>
  <c r="L88" i="27"/>
  <c r="L87" i="27"/>
  <c r="L89" i="27"/>
  <c r="L91" i="27"/>
  <c r="L92" i="27"/>
  <c r="J18" i="14"/>
  <c r="L96" i="27"/>
  <c r="J17" i="14"/>
  <c r="J16" i="14"/>
  <c r="J14" i="14"/>
  <c r="J9" i="14"/>
  <c r="J30" i="14"/>
  <c r="J28" i="14"/>
  <c r="J35" i="14"/>
  <c r="J34" i="14"/>
  <c r="J40" i="14"/>
  <c r="J47" i="14"/>
  <c r="J46" i="14"/>
  <c r="J26" i="14"/>
  <c r="J58" i="14"/>
  <c r="K102" i="27"/>
  <c r="J60" i="14"/>
  <c r="J59" i="14"/>
  <c r="J61" i="14"/>
  <c r="J62" i="14"/>
  <c r="J57" i="14"/>
  <c r="J21" i="14"/>
  <c r="J19" i="14"/>
  <c r="I81" i="14"/>
  <c r="J80" i="14"/>
  <c r="J79" i="14"/>
  <c r="K23" i="14"/>
  <c r="K24" i="14"/>
  <c r="K22" i="14"/>
  <c r="L101" i="27"/>
  <c r="K56" i="14"/>
  <c r="K6" i="14"/>
  <c r="K5" i="14"/>
  <c r="K55" i="14"/>
  <c r="K54" i="14"/>
  <c r="K53" i="14"/>
  <c r="I16" i="25"/>
  <c r="I6" i="25"/>
  <c r="I7" i="25"/>
  <c r="I8" i="25"/>
  <c r="I9" i="25"/>
  <c r="I10" i="25"/>
  <c r="I11" i="25"/>
  <c r="I17" i="25"/>
  <c r="I18" i="25"/>
  <c r="I19" i="25"/>
  <c r="I20" i="25"/>
  <c r="K65" i="14"/>
  <c r="K66" i="14"/>
  <c r="K67" i="14"/>
  <c r="K64" i="14"/>
  <c r="K70" i="14"/>
  <c r="K78" i="14"/>
  <c r="K68" i="14"/>
  <c r="K69" i="14"/>
  <c r="K71" i="14"/>
  <c r="K72" i="14"/>
  <c r="K73" i="14"/>
  <c r="K74" i="14"/>
  <c r="K63" i="14"/>
  <c r="K29" i="14"/>
  <c r="K32" i="14"/>
  <c r="K33" i="14"/>
  <c r="M88" i="27"/>
  <c r="M87" i="27"/>
  <c r="M89" i="27"/>
  <c r="M91" i="27"/>
  <c r="M92" i="27"/>
  <c r="K18" i="14"/>
  <c r="M96" i="27"/>
  <c r="K17" i="14"/>
  <c r="K16" i="14"/>
  <c r="K14" i="14"/>
  <c r="K9" i="14"/>
  <c r="K30" i="14"/>
  <c r="K28" i="14"/>
  <c r="K35" i="14"/>
  <c r="K34" i="14"/>
  <c r="K40" i="14"/>
  <c r="K47" i="14"/>
  <c r="K46" i="14"/>
  <c r="K26" i="14"/>
  <c r="K58" i="14"/>
  <c r="L102" i="27"/>
  <c r="K60" i="14"/>
  <c r="K59" i="14"/>
  <c r="K61" i="14"/>
  <c r="K62" i="14"/>
  <c r="K57" i="14"/>
  <c r="K21" i="14"/>
  <c r="K19" i="14"/>
  <c r="J81" i="14"/>
  <c r="K80" i="14"/>
  <c r="K79" i="14"/>
  <c r="L23" i="14"/>
  <c r="L24" i="14"/>
  <c r="L22" i="14"/>
  <c r="M101" i="27"/>
  <c r="L56" i="14"/>
  <c r="L6" i="14"/>
  <c r="L5" i="14"/>
  <c r="L55" i="14"/>
  <c r="L54" i="14"/>
  <c r="L53" i="14"/>
  <c r="J16" i="25"/>
  <c r="J6" i="25"/>
  <c r="J7" i="25"/>
  <c r="J8" i="25"/>
  <c r="J9" i="25"/>
  <c r="J10" i="25"/>
  <c r="J11" i="25"/>
  <c r="J17" i="25"/>
  <c r="J18" i="25"/>
  <c r="J19" i="25"/>
  <c r="J20" i="25"/>
  <c r="L65" i="14"/>
  <c r="L66" i="14"/>
  <c r="L67" i="14"/>
  <c r="L64" i="14"/>
  <c r="L70" i="14"/>
  <c r="L78" i="14"/>
  <c r="L68" i="14"/>
  <c r="L69" i="14"/>
  <c r="L71" i="14"/>
  <c r="L72" i="14"/>
  <c r="L73" i="14"/>
  <c r="L74" i="14"/>
  <c r="L63" i="14"/>
  <c r="L29" i="14"/>
  <c r="L32" i="14"/>
  <c r="L33" i="14"/>
  <c r="N88" i="27"/>
  <c r="N87" i="27"/>
  <c r="N89" i="27"/>
  <c r="N91" i="27"/>
  <c r="N92" i="27"/>
  <c r="L18" i="14"/>
  <c r="N96" i="27"/>
  <c r="L17" i="14"/>
  <c r="L16" i="14"/>
  <c r="L14" i="14"/>
  <c r="L9" i="14"/>
  <c r="L30" i="14"/>
  <c r="L28" i="14"/>
  <c r="L35" i="14"/>
  <c r="L34" i="14"/>
  <c r="L40" i="14"/>
  <c r="L47" i="14"/>
  <c r="L46" i="14"/>
  <c r="L26" i="14"/>
  <c r="L58" i="14"/>
  <c r="M102" i="27"/>
  <c r="L60" i="14"/>
  <c r="L59" i="14"/>
  <c r="L61" i="14"/>
  <c r="L62" i="14"/>
  <c r="L57" i="14"/>
  <c r="L21" i="14"/>
  <c r="L19" i="14"/>
  <c r="K81" i="14"/>
  <c r="L80" i="14"/>
  <c r="L79" i="14"/>
  <c r="M23" i="14"/>
  <c r="M24" i="14"/>
  <c r="M22" i="14"/>
  <c r="N101" i="27"/>
  <c r="M56" i="14"/>
  <c r="M6" i="14"/>
  <c r="M5" i="14"/>
  <c r="M55" i="14"/>
  <c r="M54" i="14"/>
  <c r="M53" i="14"/>
  <c r="K16" i="25"/>
  <c r="K6" i="25"/>
  <c r="K7" i="25"/>
  <c r="K8" i="25"/>
  <c r="K9" i="25"/>
  <c r="K10" i="25"/>
  <c r="K11" i="25"/>
  <c r="K17" i="25"/>
  <c r="K18" i="25"/>
  <c r="K19" i="25"/>
  <c r="K20" i="25"/>
  <c r="M65" i="14"/>
  <c r="M66" i="14"/>
  <c r="M67" i="14"/>
  <c r="M64" i="14"/>
  <c r="M70" i="14"/>
  <c r="M78" i="14"/>
  <c r="M68" i="14"/>
  <c r="M69" i="14"/>
  <c r="M71" i="14"/>
  <c r="M72" i="14"/>
  <c r="M73" i="14"/>
  <c r="M74" i="14"/>
  <c r="M63" i="14"/>
  <c r="M29" i="14"/>
  <c r="M32" i="14"/>
  <c r="M33" i="14"/>
  <c r="O88" i="27"/>
  <c r="O87" i="27"/>
  <c r="O89" i="27"/>
  <c r="O91" i="27"/>
  <c r="O92" i="27"/>
  <c r="M18" i="14"/>
  <c r="O96" i="27"/>
  <c r="M17" i="14"/>
  <c r="M16" i="14"/>
  <c r="M14" i="14"/>
  <c r="M9" i="14"/>
  <c r="M30" i="14"/>
  <c r="M28" i="14"/>
  <c r="M35" i="14"/>
  <c r="M34" i="14"/>
  <c r="M40" i="14"/>
  <c r="M47" i="14"/>
  <c r="M46" i="14"/>
  <c r="M26" i="14"/>
  <c r="M58" i="14"/>
  <c r="N102" i="27"/>
  <c r="M60" i="14"/>
  <c r="M59" i="14"/>
  <c r="M61" i="14"/>
  <c r="M62" i="14"/>
  <c r="M57" i="14"/>
  <c r="M21" i="14"/>
  <c r="M19" i="14"/>
  <c r="L81" i="14"/>
  <c r="M80" i="14"/>
  <c r="M79" i="14"/>
  <c r="N23" i="14"/>
  <c r="N24" i="14"/>
  <c r="N22" i="14"/>
  <c r="O101" i="27"/>
  <c r="N56" i="14"/>
  <c r="N6" i="14"/>
  <c r="N5" i="14"/>
  <c r="N55" i="14"/>
  <c r="N54" i="14"/>
  <c r="N53" i="14"/>
  <c r="L16" i="25"/>
  <c r="L6" i="25"/>
  <c r="L7" i="25"/>
  <c r="L8" i="25"/>
  <c r="L9" i="25"/>
  <c r="L10" i="25"/>
  <c r="L11" i="25"/>
  <c r="L17" i="25"/>
  <c r="L18" i="25"/>
  <c r="L19" i="25"/>
  <c r="L20" i="25"/>
  <c r="N65" i="14"/>
  <c r="N66" i="14"/>
  <c r="N67" i="14"/>
  <c r="N64" i="14"/>
  <c r="N70" i="14"/>
  <c r="N78" i="14"/>
  <c r="N68" i="14"/>
  <c r="N69" i="14"/>
  <c r="N71" i="14"/>
  <c r="N72" i="14"/>
  <c r="N73" i="14"/>
  <c r="N74" i="14"/>
  <c r="N63" i="14"/>
  <c r="N29" i="14"/>
  <c r="N32" i="14"/>
  <c r="N33" i="14"/>
  <c r="P88" i="27"/>
  <c r="P87" i="27"/>
  <c r="P89" i="27"/>
  <c r="P91" i="27"/>
  <c r="P92" i="27"/>
  <c r="N18" i="14"/>
  <c r="P96" i="27"/>
  <c r="N17" i="14"/>
  <c r="N16" i="14"/>
  <c r="N14" i="14"/>
  <c r="N9" i="14"/>
  <c r="N30" i="14"/>
  <c r="N28" i="14"/>
  <c r="N35" i="14"/>
  <c r="N34" i="14"/>
  <c r="N40" i="14"/>
  <c r="N47" i="14"/>
  <c r="N46" i="14"/>
  <c r="N26" i="14"/>
  <c r="N58" i="14"/>
  <c r="O102" i="27"/>
  <c r="N60" i="14"/>
  <c r="N59" i="14"/>
  <c r="N61" i="14"/>
  <c r="N62" i="14"/>
  <c r="N57" i="14"/>
  <c r="N21" i="14"/>
  <c r="N19" i="14"/>
  <c r="M81" i="14"/>
  <c r="N80" i="14"/>
  <c r="N79" i="14"/>
  <c r="O23" i="14"/>
  <c r="O24" i="14"/>
  <c r="O22" i="14"/>
  <c r="P101" i="27"/>
  <c r="O56" i="14"/>
  <c r="O6" i="14"/>
  <c r="O5" i="14"/>
  <c r="O55" i="14"/>
  <c r="O54" i="14"/>
  <c r="O53" i="14"/>
  <c r="M16" i="25"/>
  <c r="M6" i="25"/>
  <c r="M7" i="25"/>
  <c r="M8" i="25"/>
  <c r="M9" i="25"/>
  <c r="M10" i="25"/>
  <c r="M11" i="25"/>
  <c r="M17" i="25"/>
  <c r="M18" i="25"/>
  <c r="M19" i="25"/>
  <c r="M20" i="25"/>
  <c r="O65" i="14"/>
  <c r="O66" i="14"/>
  <c r="O67" i="14"/>
  <c r="O64" i="14"/>
  <c r="O76" i="14"/>
  <c r="M26" i="25"/>
  <c r="M27" i="25"/>
  <c r="M28" i="25"/>
  <c r="M29" i="25"/>
  <c r="M30" i="25"/>
  <c r="M31" i="25"/>
  <c r="M32" i="25"/>
  <c r="O75" i="14"/>
  <c r="O70" i="14"/>
  <c r="O78" i="14"/>
  <c r="O68" i="14"/>
  <c r="O69" i="14"/>
  <c r="O71" i="14"/>
  <c r="O72" i="14"/>
  <c r="O73" i="14"/>
  <c r="O74" i="14"/>
  <c r="O63" i="14"/>
  <c r="O29" i="14"/>
  <c r="O32" i="14"/>
  <c r="O33" i="14"/>
  <c r="Q88" i="27"/>
  <c r="Q87" i="27"/>
  <c r="Q89" i="27"/>
  <c r="Q91" i="27"/>
  <c r="Q92" i="27"/>
  <c r="O18" i="14"/>
  <c r="Q96" i="27"/>
  <c r="O17" i="14"/>
  <c r="O16" i="14"/>
  <c r="O14" i="14"/>
  <c r="O9" i="14"/>
  <c r="O30" i="14"/>
  <c r="O28" i="14"/>
  <c r="O35" i="14"/>
  <c r="O34" i="14"/>
  <c r="O40" i="14"/>
  <c r="O47" i="14"/>
  <c r="O46" i="14"/>
  <c r="O26" i="14"/>
  <c r="O58" i="14"/>
  <c r="P102" i="27"/>
  <c r="O60" i="14"/>
  <c r="O59" i="14"/>
  <c r="O61" i="14"/>
  <c r="O62" i="14"/>
  <c r="O57" i="14"/>
  <c r="O21" i="14"/>
  <c r="O19" i="14"/>
  <c r="N81" i="14"/>
  <c r="O80" i="14"/>
  <c r="O79" i="14"/>
  <c r="P23" i="14"/>
  <c r="P24" i="14"/>
  <c r="P22" i="14"/>
  <c r="Q101" i="27"/>
  <c r="P56" i="14"/>
  <c r="P6" i="14"/>
  <c r="P5" i="14"/>
  <c r="P55" i="14"/>
  <c r="P54" i="14"/>
  <c r="P53" i="14"/>
  <c r="N16" i="25"/>
  <c r="N6" i="25"/>
  <c r="N7" i="25"/>
  <c r="N8" i="25"/>
  <c r="N9" i="25"/>
  <c r="N10" i="25"/>
  <c r="N11" i="25"/>
  <c r="N17" i="25"/>
  <c r="N18" i="25"/>
  <c r="N19" i="25"/>
  <c r="N20" i="25"/>
  <c r="P65" i="14"/>
  <c r="P66" i="14"/>
  <c r="P67" i="14"/>
  <c r="P64" i="14"/>
  <c r="P76" i="14"/>
  <c r="N26" i="25"/>
  <c r="N27" i="25"/>
  <c r="N28" i="25"/>
  <c r="N29" i="25"/>
  <c r="N30" i="25"/>
  <c r="N31" i="25"/>
  <c r="N32" i="25"/>
  <c r="P75" i="14"/>
  <c r="P70" i="14"/>
  <c r="P78" i="14"/>
  <c r="P68" i="14"/>
  <c r="P69" i="14"/>
  <c r="P71" i="14"/>
  <c r="P72" i="14"/>
  <c r="P73" i="14"/>
  <c r="P74" i="14"/>
  <c r="P63" i="14"/>
  <c r="P29" i="14"/>
  <c r="P32" i="14"/>
  <c r="P33" i="14"/>
  <c r="R88" i="27"/>
  <c r="R87" i="27"/>
  <c r="R89" i="27"/>
  <c r="R91" i="27"/>
  <c r="R92" i="27"/>
  <c r="P18" i="14"/>
  <c r="R96" i="27"/>
  <c r="P17" i="14"/>
  <c r="P16" i="14"/>
  <c r="P14" i="14"/>
  <c r="P9" i="14"/>
  <c r="P30" i="14"/>
  <c r="P28" i="14"/>
  <c r="P35" i="14"/>
  <c r="P34" i="14"/>
  <c r="P40" i="14"/>
  <c r="P47" i="14"/>
  <c r="P46" i="14"/>
  <c r="P26" i="14"/>
  <c r="P58" i="14"/>
  <c r="Q102" i="27"/>
  <c r="P60" i="14"/>
  <c r="P59" i="14"/>
  <c r="P61" i="14"/>
  <c r="P62" i="14"/>
  <c r="P57" i="14"/>
  <c r="P21" i="14"/>
  <c r="P19" i="14"/>
  <c r="O81" i="14"/>
  <c r="P80" i="14"/>
  <c r="P79" i="14"/>
  <c r="Q23" i="14"/>
  <c r="Q24" i="14"/>
  <c r="Q22" i="14"/>
  <c r="R101" i="27"/>
  <c r="Q56" i="14"/>
  <c r="Q6" i="14"/>
  <c r="Q5" i="14"/>
  <c r="Q55" i="14"/>
  <c r="Q54" i="14"/>
  <c r="Q53" i="14"/>
  <c r="O16" i="25"/>
  <c r="O6" i="25"/>
  <c r="O7" i="25"/>
  <c r="O8" i="25"/>
  <c r="O9" i="25"/>
  <c r="O10" i="25"/>
  <c r="O11" i="25"/>
  <c r="O17" i="25"/>
  <c r="O18" i="25"/>
  <c r="O19" i="25"/>
  <c r="O20" i="25"/>
  <c r="Q65" i="14"/>
  <c r="Q66" i="14"/>
  <c r="Q67" i="14"/>
  <c r="Q64" i="14"/>
  <c r="Q76" i="14"/>
  <c r="O26" i="25"/>
  <c r="O27" i="25"/>
  <c r="O28" i="25"/>
  <c r="O29" i="25"/>
  <c r="O30" i="25"/>
  <c r="O31" i="25"/>
  <c r="O32" i="25"/>
  <c r="Q75" i="14"/>
  <c r="Q70" i="14"/>
  <c r="Q78" i="14"/>
  <c r="Q68" i="14"/>
  <c r="Q69" i="14"/>
  <c r="Q71" i="14"/>
  <c r="Q72" i="14"/>
  <c r="Q73" i="14"/>
  <c r="Q74" i="14"/>
  <c r="Q63" i="14"/>
  <c r="Q29" i="14"/>
  <c r="Q32" i="14"/>
  <c r="Q33" i="14"/>
  <c r="S88" i="27"/>
  <c r="S87" i="27"/>
  <c r="S89" i="27"/>
  <c r="S91" i="27"/>
  <c r="S92" i="27"/>
  <c r="Q18" i="14"/>
  <c r="S96" i="27"/>
  <c r="Q17" i="14"/>
  <c r="Q16" i="14"/>
  <c r="Q14" i="14"/>
  <c r="Q9" i="14"/>
  <c r="Q30" i="14"/>
  <c r="Q28" i="14"/>
  <c r="Q35" i="14"/>
  <c r="Q34" i="14"/>
  <c r="Q40" i="14"/>
  <c r="Q47" i="14"/>
  <c r="Q46" i="14"/>
  <c r="Q26" i="14"/>
  <c r="Q58" i="14"/>
  <c r="R102" i="27"/>
  <c r="Q60" i="14"/>
  <c r="Q59" i="14"/>
  <c r="Q61" i="14"/>
  <c r="Q62" i="14"/>
  <c r="Q57" i="14"/>
  <c r="Q21" i="14"/>
  <c r="Q19" i="14"/>
  <c r="P81" i="14"/>
  <c r="Q80" i="14"/>
  <c r="Q79" i="14"/>
  <c r="R23" i="14"/>
  <c r="R24" i="14"/>
  <c r="R22" i="14"/>
  <c r="S101" i="27"/>
  <c r="R56" i="14"/>
  <c r="R6" i="14"/>
  <c r="R5" i="14"/>
  <c r="R55" i="14"/>
  <c r="R54" i="14"/>
  <c r="R53" i="14"/>
  <c r="P16" i="25"/>
  <c r="P6" i="25"/>
  <c r="P7" i="25"/>
  <c r="P8" i="25"/>
  <c r="P9" i="25"/>
  <c r="P10" i="25"/>
  <c r="P11" i="25"/>
  <c r="P17" i="25"/>
  <c r="P18" i="25"/>
  <c r="P19" i="25"/>
  <c r="P20" i="25"/>
  <c r="R65" i="14"/>
  <c r="R66" i="14"/>
  <c r="R67" i="14"/>
  <c r="R64" i="14"/>
  <c r="R76" i="14"/>
  <c r="P26" i="25"/>
  <c r="P27" i="25"/>
  <c r="P28" i="25"/>
  <c r="P29" i="25"/>
  <c r="P30" i="25"/>
  <c r="P31" i="25"/>
  <c r="P32" i="25"/>
  <c r="R75" i="14"/>
  <c r="R70" i="14"/>
  <c r="R78" i="14"/>
  <c r="R68" i="14"/>
  <c r="R69" i="14"/>
  <c r="R71" i="14"/>
  <c r="R72" i="14"/>
  <c r="R73" i="14"/>
  <c r="R74" i="14"/>
  <c r="R63" i="14"/>
  <c r="R29" i="14"/>
  <c r="R32" i="14"/>
  <c r="R33" i="14"/>
  <c r="T88" i="27"/>
  <c r="T87" i="27"/>
  <c r="T89" i="27"/>
  <c r="T91" i="27"/>
  <c r="T92" i="27"/>
  <c r="R18" i="14"/>
  <c r="T96" i="27"/>
  <c r="R17" i="14"/>
  <c r="R16" i="14"/>
  <c r="R14" i="14"/>
  <c r="R9" i="14"/>
  <c r="R30" i="14"/>
  <c r="R28" i="14"/>
  <c r="R35" i="14"/>
  <c r="R34" i="14"/>
  <c r="R40" i="14"/>
  <c r="R47" i="14"/>
  <c r="R46" i="14"/>
  <c r="R26" i="14"/>
  <c r="R58" i="14"/>
  <c r="S102" i="27"/>
  <c r="R60" i="14"/>
  <c r="R59" i="14"/>
  <c r="R61" i="14"/>
  <c r="R62" i="14"/>
  <c r="R57" i="14"/>
  <c r="R21" i="14"/>
  <c r="R19" i="14"/>
  <c r="Q81" i="14"/>
  <c r="R80" i="14"/>
  <c r="R79" i="14"/>
  <c r="S23" i="14"/>
  <c r="S24" i="14"/>
  <c r="S22" i="14"/>
  <c r="T101" i="27"/>
  <c r="S56" i="14"/>
  <c r="S6" i="14"/>
  <c r="S5" i="14"/>
  <c r="S55" i="14"/>
  <c r="S54" i="14"/>
  <c r="S53" i="14"/>
  <c r="Q16" i="25"/>
  <c r="Q6" i="25"/>
  <c r="Q7" i="25"/>
  <c r="Q8" i="25"/>
  <c r="Q9" i="25"/>
  <c r="Q10" i="25"/>
  <c r="Q11" i="25"/>
  <c r="Q17" i="25"/>
  <c r="Q18" i="25"/>
  <c r="Q19" i="25"/>
  <c r="Q20" i="25"/>
  <c r="S65" i="14"/>
  <c r="S66" i="14"/>
  <c r="S67" i="14"/>
  <c r="S64" i="14"/>
  <c r="S76" i="14"/>
  <c r="Q26" i="25"/>
  <c r="Q27" i="25"/>
  <c r="Q28" i="25"/>
  <c r="Q29" i="25"/>
  <c r="Q30" i="25"/>
  <c r="Q31" i="25"/>
  <c r="Q32" i="25"/>
  <c r="S75" i="14"/>
  <c r="S70" i="14"/>
  <c r="S78" i="14"/>
  <c r="S68" i="14"/>
  <c r="S69" i="14"/>
  <c r="S71" i="14"/>
  <c r="S72" i="14"/>
  <c r="S73" i="14"/>
  <c r="S74" i="14"/>
  <c r="S63" i="14"/>
  <c r="S29" i="14"/>
  <c r="S32" i="14"/>
  <c r="S33" i="14"/>
  <c r="U88" i="27"/>
  <c r="U87" i="27"/>
  <c r="U89" i="27"/>
  <c r="U91" i="27"/>
  <c r="U92" i="27"/>
  <c r="S18" i="14"/>
  <c r="U96" i="27"/>
  <c r="S17" i="14"/>
  <c r="S16" i="14"/>
  <c r="S14" i="14"/>
  <c r="S9" i="14"/>
  <c r="S30" i="14"/>
  <c r="S28" i="14"/>
  <c r="S35" i="14"/>
  <c r="S34" i="14"/>
  <c r="S40" i="14"/>
  <c r="S47" i="14"/>
  <c r="S46" i="14"/>
  <c r="S26" i="14"/>
  <c r="S58" i="14"/>
  <c r="T102" i="27"/>
  <c r="S60" i="14"/>
  <c r="S59" i="14"/>
  <c r="S61" i="14"/>
  <c r="S62" i="14"/>
  <c r="S57" i="14"/>
  <c r="S21" i="14"/>
  <c r="S19" i="14"/>
  <c r="R81" i="14"/>
  <c r="S80" i="14"/>
  <c r="S79" i="14"/>
  <c r="F80" i="14"/>
  <c r="F79" i="14"/>
  <c r="E80" i="14"/>
  <c r="E79" i="14"/>
  <c r="C19" i="25"/>
  <c r="S81" i="14"/>
  <c r="U101" i="27"/>
  <c r="T56" i="14"/>
  <c r="U56" i="14"/>
  <c r="V56" i="14"/>
  <c r="O20" i="14"/>
  <c r="P20" i="14"/>
  <c r="Q20" i="14"/>
  <c r="R20" i="14"/>
  <c r="C158" i="27"/>
  <c r="C143" i="27"/>
  <c r="C144" i="27"/>
  <c r="C145" i="27"/>
  <c r="C147" i="27"/>
  <c r="C151" i="27"/>
  <c r="C168" i="27"/>
  <c r="C159" i="27"/>
  <c r="C152" i="27"/>
  <c r="C169" i="27"/>
  <c r="C160" i="27"/>
  <c r="C161" i="27"/>
  <c r="C153" i="27"/>
  <c r="C170" i="27"/>
  <c r="C162" i="27"/>
  <c r="C163" i="27"/>
  <c r="C154" i="27"/>
  <c r="C171" i="27"/>
  <c r="C172" i="27"/>
  <c r="C173" i="27"/>
  <c r="B173" i="27"/>
  <c r="D16" i="29"/>
  <c r="D17" i="29"/>
  <c r="E16" i="29"/>
  <c r="E17" i="29"/>
  <c r="F16" i="29"/>
  <c r="F17" i="29"/>
  <c r="G16" i="29"/>
  <c r="G17" i="29"/>
  <c r="H16" i="29"/>
  <c r="H17" i="29"/>
  <c r="I16" i="29"/>
  <c r="I17" i="29"/>
  <c r="J16" i="29"/>
  <c r="J17" i="29"/>
  <c r="K16" i="29"/>
  <c r="K17" i="29"/>
  <c r="L16" i="29"/>
  <c r="L17" i="29"/>
  <c r="M16" i="29"/>
  <c r="M17" i="29"/>
  <c r="M18" i="29"/>
  <c r="N16" i="29"/>
  <c r="N17" i="29"/>
  <c r="N18" i="29"/>
  <c r="O16" i="29"/>
  <c r="O17" i="29"/>
  <c r="O18" i="29"/>
  <c r="P16" i="29"/>
  <c r="P17" i="29"/>
  <c r="P18" i="29"/>
  <c r="Q16" i="29"/>
  <c r="Q17" i="29"/>
  <c r="Q18" i="29"/>
  <c r="O86" i="14"/>
  <c r="O87" i="14"/>
  <c r="M14" i="29"/>
  <c r="M15" i="29"/>
  <c r="P86" i="14"/>
  <c r="P87" i="14"/>
  <c r="N14" i="29"/>
  <c r="N15" i="29"/>
  <c r="Q86" i="14"/>
  <c r="Q87" i="14"/>
  <c r="O14" i="29"/>
  <c r="O15" i="29"/>
  <c r="R86" i="14"/>
  <c r="R87" i="14"/>
  <c r="P14" i="29"/>
  <c r="P15" i="29"/>
  <c r="S86" i="14"/>
  <c r="S87" i="14"/>
  <c r="Q14" i="29"/>
  <c r="Q15" i="29"/>
  <c r="M4" i="29"/>
  <c r="M5" i="29"/>
  <c r="M3" i="29"/>
  <c r="O88" i="14"/>
  <c r="O89" i="14"/>
  <c r="O85" i="14"/>
  <c r="M7" i="29"/>
  <c r="M8" i="29"/>
  <c r="M9" i="29"/>
  <c r="M10" i="29"/>
  <c r="M11" i="29"/>
  <c r="M12" i="29"/>
  <c r="M6" i="29"/>
  <c r="M2" i="29"/>
  <c r="M13" i="29"/>
  <c r="N4" i="29"/>
  <c r="N5" i="29"/>
  <c r="N3" i="29"/>
  <c r="P88" i="14"/>
  <c r="P89" i="14"/>
  <c r="P85" i="14"/>
  <c r="N7" i="29"/>
  <c r="N8" i="29"/>
  <c r="N9" i="29"/>
  <c r="N10" i="29"/>
  <c r="N11" i="29"/>
  <c r="N12" i="29"/>
  <c r="N6" i="29"/>
  <c r="N2" i="29"/>
  <c r="N13" i="29"/>
  <c r="O4" i="29"/>
  <c r="O5" i="29"/>
  <c r="O3" i="29"/>
  <c r="Q88" i="14"/>
  <c r="Q89" i="14"/>
  <c r="Q85" i="14"/>
  <c r="O7" i="29"/>
  <c r="O8" i="29"/>
  <c r="O9" i="29"/>
  <c r="O10" i="29"/>
  <c r="O11" i="29"/>
  <c r="O12" i="29"/>
  <c r="O6" i="29"/>
  <c r="O2" i="29"/>
  <c r="O13" i="29"/>
  <c r="P4" i="29"/>
  <c r="P5" i="29"/>
  <c r="P3" i="29"/>
  <c r="R88" i="14"/>
  <c r="R89" i="14"/>
  <c r="R85" i="14"/>
  <c r="P7" i="29"/>
  <c r="P8" i="29"/>
  <c r="P9" i="29"/>
  <c r="P10" i="29"/>
  <c r="P11" i="29"/>
  <c r="P12" i="29"/>
  <c r="P6" i="29"/>
  <c r="P2" i="29"/>
  <c r="P13" i="29"/>
  <c r="Q4" i="29"/>
  <c r="Q5" i="29"/>
  <c r="Q3" i="29"/>
  <c r="S88" i="14"/>
  <c r="S89" i="14"/>
  <c r="S85" i="14"/>
  <c r="Q7" i="29"/>
  <c r="Q8" i="29"/>
  <c r="Q9" i="29"/>
  <c r="Q10" i="29"/>
  <c r="Q11" i="29"/>
  <c r="Q12" i="29"/>
  <c r="Q6" i="29"/>
  <c r="Q2" i="29"/>
  <c r="Q13" i="29"/>
  <c r="C8" i="16"/>
  <c r="B8" i="16"/>
  <c r="C2" i="16"/>
  <c r="B12" i="16"/>
  <c r="B2" i="16"/>
  <c r="C20" i="16"/>
  <c r="C15" i="16"/>
  <c r="F96" i="14"/>
  <c r="E96" i="14"/>
  <c r="E97" i="14"/>
  <c r="E98" i="14"/>
  <c r="F98" i="14"/>
  <c r="C111" i="14"/>
  <c r="O83" i="14"/>
  <c r="L108" i="27"/>
  <c r="P83" i="14"/>
  <c r="M108" i="27"/>
  <c r="Q83" i="14"/>
  <c r="N108" i="27"/>
  <c r="R83" i="14"/>
  <c r="O108" i="27"/>
  <c r="S83" i="14"/>
  <c r="P108" i="27"/>
  <c r="O82" i="14"/>
  <c r="L107" i="27"/>
  <c r="P82" i="14"/>
  <c r="M107" i="27"/>
  <c r="Q82" i="14"/>
  <c r="N107" i="27"/>
  <c r="R82" i="14"/>
  <c r="O107" i="27"/>
  <c r="S82" i="14"/>
  <c r="P107" i="27"/>
  <c r="L104" i="27"/>
  <c r="M104" i="27"/>
  <c r="N104" i="27"/>
  <c r="O104" i="27"/>
  <c r="P104" i="27"/>
  <c r="O93" i="14"/>
  <c r="P93" i="14"/>
  <c r="Q93" i="14"/>
  <c r="R93" i="14"/>
  <c r="S93" i="14"/>
  <c r="O77" i="14"/>
  <c r="P77" i="14"/>
  <c r="Q77" i="14"/>
  <c r="R77" i="14"/>
  <c r="S77" i="14"/>
  <c r="D52" i="14"/>
  <c r="E52" i="14"/>
  <c r="F52" i="14"/>
  <c r="G52" i="14"/>
  <c r="H52" i="14"/>
  <c r="I52" i="14"/>
  <c r="J52" i="14"/>
  <c r="K52" i="14"/>
  <c r="L52" i="14"/>
  <c r="M52" i="14"/>
  <c r="N52" i="14"/>
  <c r="O52" i="14"/>
  <c r="P52" i="14"/>
  <c r="Q52" i="14"/>
  <c r="R52" i="14"/>
  <c r="S52" i="14"/>
  <c r="T52" i="14"/>
  <c r="U52" i="14"/>
  <c r="V52" i="14"/>
  <c r="F52" i="27"/>
  <c r="D51" i="14"/>
  <c r="E51" i="14"/>
  <c r="F51" i="14"/>
  <c r="G51" i="14"/>
  <c r="H51" i="14"/>
  <c r="I51" i="14"/>
  <c r="J51" i="14"/>
  <c r="K51" i="14"/>
  <c r="L51" i="14"/>
  <c r="M51" i="14"/>
  <c r="N51" i="14"/>
  <c r="O51" i="14"/>
  <c r="P51" i="14"/>
  <c r="Q51" i="14"/>
  <c r="R51" i="14"/>
  <c r="S51" i="14"/>
  <c r="O50" i="14"/>
  <c r="P50" i="14"/>
  <c r="Q50" i="14"/>
  <c r="R50" i="14"/>
  <c r="S50" i="14"/>
  <c r="O44" i="14"/>
  <c r="P44" i="14"/>
  <c r="Q44" i="14"/>
  <c r="R44" i="14"/>
  <c r="S44" i="14"/>
  <c r="F40" i="27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M158" i="27"/>
  <c r="M143" i="27"/>
  <c r="M151" i="27"/>
  <c r="M168" i="27"/>
  <c r="M159" i="27"/>
  <c r="M144" i="27"/>
  <c r="M152" i="27"/>
  <c r="M169" i="27"/>
  <c r="M160" i="27"/>
  <c r="M161" i="27"/>
  <c r="M153" i="27"/>
  <c r="M170" i="27"/>
  <c r="M162" i="27"/>
  <c r="M163" i="27"/>
  <c r="M154" i="27"/>
  <c r="M171" i="27"/>
  <c r="M172" i="27"/>
  <c r="M147" i="27"/>
  <c r="M173" i="27"/>
  <c r="M174" i="27"/>
  <c r="M179" i="27"/>
  <c r="M180" i="27"/>
  <c r="N158" i="27"/>
  <c r="N143" i="27"/>
  <c r="N151" i="27"/>
  <c r="N168" i="27"/>
  <c r="N159" i="27"/>
  <c r="N144" i="27"/>
  <c r="N152" i="27"/>
  <c r="N169" i="27"/>
  <c r="N160" i="27"/>
  <c r="N161" i="27"/>
  <c r="N153" i="27"/>
  <c r="N170" i="27"/>
  <c r="N162" i="27"/>
  <c r="N163" i="27"/>
  <c r="N154" i="27"/>
  <c r="N171" i="27"/>
  <c r="N172" i="27"/>
  <c r="N147" i="27"/>
  <c r="N173" i="27"/>
  <c r="N174" i="27"/>
  <c r="N179" i="27"/>
  <c r="N180" i="27"/>
  <c r="O158" i="27"/>
  <c r="O143" i="27"/>
  <c r="O151" i="27"/>
  <c r="O168" i="27"/>
  <c r="O159" i="27"/>
  <c r="O144" i="27"/>
  <c r="O152" i="27"/>
  <c r="O169" i="27"/>
  <c r="O160" i="27"/>
  <c r="O161" i="27"/>
  <c r="O153" i="27"/>
  <c r="O170" i="27"/>
  <c r="O162" i="27"/>
  <c r="O163" i="27"/>
  <c r="O154" i="27"/>
  <c r="O171" i="27"/>
  <c r="O172" i="27"/>
  <c r="O147" i="27"/>
  <c r="O173" i="27"/>
  <c r="O174" i="27"/>
  <c r="O179" i="27"/>
  <c r="O180" i="27"/>
  <c r="P158" i="27"/>
  <c r="P143" i="27"/>
  <c r="P151" i="27"/>
  <c r="P168" i="27"/>
  <c r="P159" i="27"/>
  <c r="P144" i="27"/>
  <c r="P152" i="27"/>
  <c r="P169" i="27"/>
  <c r="P160" i="27"/>
  <c r="P161" i="27"/>
  <c r="P153" i="27"/>
  <c r="P170" i="27"/>
  <c r="P162" i="27"/>
  <c r="P163" i="27"/>
  <c r="P154" i="27"/>
  <c r="P171" i="27"/>
  <c r="P172" i="27"/>
  <c r="P147" i="27"/>
  <c r="P173" i="27"/>
  <c r="P174" i="27"/>
  <c r="P179" i="27"/>
  <c r="P180" i="27"/>
  <c r="Q158" i="27"/>
  <c r="Q143" i="27"/>
  <c r="Q151" i="27"/>
  <c r="Q168" i="27"/>
  <c r="Q159" i="27"/>
  <c r="Q144" i="27"/>
  <c r="Q152" i="27"/>
  <c r="Q169" i="27"/>
  <c r="Q160" i="27"/>
  <c r="Q161" i="27"/>
  <c r="Q153" i="27"/>
  <c r="Q170" i="27"/>
  <c r="Q162" i="27"/>
  <c r="Q163" i="27"/>
  <c r="Q154" i="27"/>
  <c r="Q171" i="27"/>
  <c r="Q172" i="27"/>
  <c r="Q147" i="27"/>
  <c r="Q173" i="27"/>
  <c r="Q174" i="27"/>
  <c r="Q179" i="27"/>
  <c r="Q180" i="27"/>
  <c r="M157" i="27"/>
  <c r="M167" i="27"/>
  <c r="N157" i="27"/>
  <c r="N167" i="27"/>
  <c r="O157" i="27"/>
  <c r="O167" i="27"/>
  <c r="P157" i="27"/>
  <c r="P167" i="27"/>
  <c r="Q157" i="27"/>
  <c r="Q167" i="27"/>
  <c r="U102" i="27"/>
  <c r="E32" i="14"/>
  <c r="F65" i="27"/>
  <c r="F64" i="27"/>
  <c r="F22" i="27"/>
  <c r="F20" i="27"/>
  <c r="F18" i="27"/>
  <c r="H20" i="27"/>
  <c r="D2" i="16"/>
  <c r="C12" i="16"/>
  <c r="C17" i="16"/>
  <c r="D20" i="16"/>
  <c r="E2" i="16"/>
  <c r="D12" i="16"/>
  <c r="D17" i="16"/>
  <c r="E20" i="16"/>
  <c r="F2" i="16"/>
  <c r="E12" i="16"/>
  <c r="E17" i="16"/>
  <c r="F20" i="16"/>
  <c r="G2" i="16"/>
  <c r="F12" i="16"/>
  <c r="F17" i="16"/>
  <c r="G20" i="16"/>
  <c r="H2" i="16"/>
  <c r="G12" i="16"/>
  <c r="G17" i="16"/>
  <c r="H20" i="16"/>
  <c r="I2" i="16"/>
  <c r="H12" i="16"/>
  <c r="H17" i="16"/>
  <c r="I20" i="16"/>
  <c r="J2" i="16"/>
  <c r="I12" i="16"/>
  <c r="I17" i="16"/>
  <c r="J20" i="16"/>
  <c r="K2" i="16"/>
  <c r="J12" i="16"/>
  <c r="J17" i="16" s="1"/>
  <c r="C124" i="27"/>
  <c r="C127" i="27"/>
  <c r="C128" i="27"/>
  <c r="C126" i="27"/>
  <c r="C125" i="27"/>
  <c r="C123" i="27"/>
  <c r="B114" i="27"/>
  <c r="C117" i="27"/>
  <c r="C114" i="27"/>
  <c r="C138" i="27"/>
  <c r="C137" i="27"/>
  <c r="C133" i="27"/>
  <c r="C132" i="27"/>
  <c r="B124" i="27"/>
  <c r="B127" i="27"/>
  <c r="B128" i="27"/>
  <c r="B126" i="27"/>
  <c r="B125" i="27"/>
  <c r="B123" i="27"/>
  <c r="B22" i="29"/>
  <c r="B20" i="29"/>
  <c r="C18" i="29"/>
  <c r="L18" i="29"/>
  <c r="K18" i="29"/>
  <c r="G18" i="29"/>
  <c r="F18" i="29"/>
  <c r="J18" i="29"/>
  <c r="E18" i="29"/>
  <c r="I18" i="29"/>
  <c r="D18" i="29"/>
  <c r="H18" i="29"/>
  <c r="W81" i="14"/>
  <c r="X81" i="14"/>
  <c r="W9" i="14"/>
  <c r="X9" i="14"/>
  <c r="F95" i="27"/>
  <c r="G95" i="27"/>
  <c r="E24" i="14"/>
  <c r="T32" i="14"/>
  <c r="U32" i="14"/>
  <c r="V32" i="14"/>
  <c r="R26" i="25"/>
  <c r="S26" i="25"/>
  <c r="T60" i="14"/>
  <c r="U60" i="14"/>
  <c r="V60" i="14"/>
  <c r="F50" i="14"/>
  <c r="G50" i="14"/>
  <c r="H50" i="14"/>
  <c r="I50" i="14"/>
  <c r="J50" i="14"/>
  <c r="K50" i="14"/>
  <c r="L50" i="14"/>
  <c r="M50" i="14"/>
  <c r="N50" i="14"/>
  <c r="F44" i="14"/>
  <c r="G44" i="14"/>
  <c r="H44" i="14"/>
  <c r="I44" i="14"/>
  <c r="J44" i="14"/>
  <c r="K44" i="14"/>
  <c r="L44" i="14"/>
  <c r="M44" i="14"/>
  <c r="N44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F98" i="27"/>
  <c r="E38" i="14"/>
  <c r="F100" i="27"/>
  <c r="E50" i="14"/>
  <c r="F99" i="27"/>
  <c r="E44" i="14"/>
  <c r="W122" i="14"/>
  <c r="C26" i="25"/>
  <c r="D81" i="14"/>
  <c r="F83" i="27"/>
  <c r="B71" i="14"/>
  <c r="B72" i="14"/>
  <c r="B73" i="14"/>
  <c r="B70" i="14"/>
  <c r="B66" i="14"/>
  <c r="B67" i="14"/>
  <c r="B68" i="14"/>
  <c r="B69" i="14"/>
  <c r="B65" i="14"/>
  <c r="C45" i="14"/>
  <c r="C36" i="14"/>
  <c r="C37" i="14"/>
  <c r="C38" i="14"/>
  <c r="C29" i="14"/>
  <c r="C30" i="14"/>
  <c r="C31" i="14"/>
  <c r="C34" i="14"/>
  <c r="C35" i="14"/>
  <c r="C40" i="14"/>
  <c r="C41" i="14"/>
  <c r="C42" i="14"/>
  <c r="C46" i="14"/>
  <c r="C47" i="14"/>
  <c r="C48" i="14"/>
  <c r="C49" i="14"/>
  <c r="C50" i="14"/>
  <c r="C52" i="14"/>
  <c r="C53" i="14"/>
  <c r="C54" i="14"/>
  <c r="C55" i="14"/>
  <c r="C56" i="14"/>
  <c r="C57" i="14"/>
  <c r="C58" i="14"/>
  <c r="C59" i="14"/>
  <c r="C61" i="14"/>
  <c r="C62" i="14"/>
  <c r="C28" i="14"/>
  <c r="B58" i="14"/>
  <c r="B59" i="14"/>
  <c r="B60" i="14"/>
  <c r="B61" i="14"/>
  <c r="B62" i="14"/>
  <c r="D36" i="14"/>
  <c r="D38" i="14"/>
  <c r="D42" i="14"/>
  <c r="D43" i="14"/>
  <c r="D44" i="14"/>
  <c r="D45" i="14"/>
  <c r="E45" i="14"/>
  <c r="D48" i="14"/>
  <c r="D50" i="14"/>
  <c r="D55" i="14"/>
  <c r="B54" i="14"/>
  <c r="B55" i="14"/>
  <c r="B56" i="14"/>
  <c r="B57" i="14"/>
  <c r="B53" i="14"/>
  <c r="B51" i="14"/>
  <c r="B52" i="14"/>
  <c r="B46" i="14"/>
  <c r="B48" i="14"/>
  <c r="B49" i="14"/>
  <c r="B50" i="14"/>
  <c r="B43" i="14"/>
  <c r="B44" i="14"/>
  <c r="B45" i="14"/>
  <c r="B37" i="14"/>
  <c r="B38" i="14"/>
  <c r="B39" i="14"/>
  <c r="B40" i="14"/>
  <c r="B42" i="14"/>
  <c r="B27" i="14"/>
  <c r="B28" i="14"/>
  <c r="B30" i="14"/>
  <c r="B31" i="14"/>
  <c r="B32" i="14"/>
  <c r="B33" i="14"/>
  <c r="B34" i="14"/>
  <c r="B36" i="14"/>
  <c r="B26" i="14"/>
  <c r="B18" i="14"/>
  <c r="D7" i="14"/>
  <c r="E7" i="14"/>
  <c r="D9" i="14"/>
  <c r="E9" i="14"/>
  <c r="D10" i="14"/>
  <c r="E10" i="14"/>
  <c r="D12" i="14"/>
  <c r="E12" i="14"/>
  <c r="D14" i="14"/>
  <c r="E14" i="14"/>
  <c r="D15" i="14"/>
  <c r="E15" i="14"/>
  <c r="D16" i="14"/>
  <c r="E16" i="14"/>
  <c r="B17" i="14"/>
  <c r="B16" i="14"/>
  <c r="B11" i="14"/>
  <c r="B12" i="14"/>
  <c r="B13" i="14"/>
  <c r="B14" i="14"/>
  <c r="B15" i="14"/>
  <c r="B6" i="14"/>
  <c r="B7" i="14"/>
  <c r="B8" i="14"/>
  <c r="B9" i="14"/>
  <c r="B10" i="14"/>
  <c r="B5" i="14"/>
  <c r="C4" i="29"/>
  <c r="C3" i="29"/>
  <c r="T54" i="14"/>
  <c r="U54" i="14"/>
  <c r="V54" i="14"/>
  <c r="T35" i="14"/>
  <c r="U35" i="14"/>
  <c r="V35" i="14"/>
  <c r="U62" i="14"/>
  <c r="V62" i="14"/>
  <c r="T62" i="14"/>
  <c r="F50" i="27"/>
  <c r="D49" i="14"/>
  <c r="D31" i="14"/>
  <c r="D37" i="14"/>
  <c r="D33" i="14"/>
  <c r="D109" i="14"/>
  <c r="D5" i="27"/>
  <c r="E5" i="27"/>
  <c r="C5" i="27"/>
  <c r="C2" i="27"/>
  <c r="D8" i="14"/>
  <c r="E8" i="14"/>
  <c r="C3" i="27"/>
  <c r="C15" i="27"/>
  <c r="C16" i="27"/>
  <c r="C14" i="27"/>
  <c r="P92" i="14"/>
  <c r="Q92" i="14"/>
  <c r="R92" i="14"/>
  <c r="S92" i="14"/>
  <c r="T92" i="14"/>
  <c r="U92" i="14"/>
  <c r="V92" i="14"/>
  <c r="U95" i="14"/>
  <c r="U102" i="14"/>
  <c r="V95" i="14"/>
  <c r="T97" i="14"/>
  <c r="U97" i="14"/>
  <c r="V97" i="14"/>
  <c r="D60" i="14"/>
  <c r="D56" i="14"/>
  <c r="V102" i="14"/>
  <c r="E123" i="14"/>
  <c r="E124" i="14"/>
  <c r="K8" i="16"/>
  <c r="L8" i="16"/>
  <c r="M8" i="16"/>
  <c r="N8" i="16"/>
  <c r="O8" i="16"/>
  <c r="P8" i="16"/>
  <c r="Q8" i="16"/>
  <c r="R8" i="16"/>
  <c r="S8" i="16"/>
  <c r="L2" i="16"/>
  <c r="K12" i="16"/>
  <c r="M2" i="16"/>
  <c r="M20" i="16"/>
  <c r="N2" i="16"/>
  <c r="N20" i="16"/>
  <c r="O2" i="16"/>
  <c r="O20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A146" i="27"/>
  <c r="A162" i="27"/>
  <c r="A145" i="27"/>
  <c r="A160" i="27"/>
  <c r="A144" i="27"/>
  <c r="A143" i="27"/>
  <c r="A153" i="27"/>
  <c r="A170" i="27"/>
  <c r="A154" i="27"/>
  <c r="A171" i="27"/>
  <c r="F92" i="14"/>
  <c r="F113" i="14"/>
  <c r="G92" i="14"/>
  <c r="G113" i="14"/>
  <c r="H92" i="14"/>
  <c r="H113" i="14"/>
  <c r="I92" i="14"/>
  <c r="I113" i="14"/>
  <c r="J92" i="14"/>
  <c r="J113" i="14"/>
  <c r="K92" i="14"/>
  <c r="K113" i="14"/>
  <c r="L92" i="14"/>
  <c r="L113" i="14"/>
  <c r="M92" i="14"/>
  <c r="M113" i="14"/>
  <c r="N92" i="14"/>
  <c r="N113" i="14"/>
  <c r="O92" i="14"/>
  <c r="E92" i="14"/>
  <c r="E113" i="14"/>
  <c r="Q20" i="16"/>
  <c r="D82" i="14"/>
  <c r="A123" i="27"/>
  <c r="A124" i="27"/>
  <c r="A132" i="27"/>
  <c r="A151" i="27"/>
  <c r="A125" i="27"/>
  <c r="A133" i="27"/>
  <c r="A152" i="27"/>
  <c r="A126" i="27"/>
  <c r="A127" i="27"/>
  <c r="A128" i="27"/>
  <c r="C104" i="27"/>
  <c r="D104" i="27"/>
  <c r="E104" i="27"/>
  <c r="F104" i="27"/>
  <c r="G104" i="27"/>
  <c r="H104" i="27"/>
  <c r="I104" i="27"/>
  <c r="J104" i="27"/>
  <c r="K104" i="27"/>
  <c r="B104" i="27"/>
  <c r="F87" i="14"/>
  <c r="G87" i="14"/>
  <c r="H87" i="14"/>
  <c r="I87" i="14"/>
  <c r="J87" i="14"/>
  <c r="K87" i="14"/>
  <c r="L87" i="14"/>
  <c r="M87" i="14"/>
  <c r="N87" i="14"/>
  <c r="B88" i="14"/>
  <c r="N25" i="25"/>
  <c r="O25" i="25"/>
  <c r="P25" i="25"/>
  <c r="Q25" i="25"/>
  <c r="R25" i="25"/>
  <c r="G25" i="25"/>
  <c r="K25" i="25"/>
  <c r="L25" i="25"/>
  <c r="M25" i="25"/>
  <c r="I25" i="25"/>
  <c r="J25" i="25"/>
  <c r="R28" i="25"/>
  <c r="S28" i="25"/>
  <c r="T28" i="25"/>
  <c r="R29" i="25"/>
  <c r="S29" i="25"/>
  <c r="T29" i="25"/>
  <c r="F130" i="14"/>
  <c r="J8" i="16"/>
  <c r="F8" i="16"/>
  <c r="G8" i="16"/>
  <c r="H8" i="16"/>
  <c r="D8" i="16"/>
  <c r="I8" i="16"/>
  <c r="E8" i="16"/>
  <c r="A159" i="27"/>
  <c r="A169" i="27"/>
  <c r="A158" i="27"/>
  <c r="A168" i="27"/>
  <c r="I150" i="27"/>
  <c r="I157" i="27"/>
  <c r="I167" i="27"/>
  <c r="I142" i="27"/>
  <c r="E150" i="27"/>
  <c r="E157" i="27"/>
  <c r="E167" i="27"/>
  <c r="E142" i="27"/>
  <c r="K142" i="27"/>
  <c r="K150" i="27"/>
  <c r="K157" i="27"/>
  <c r="K167" i="27"/>
  <c r="G142" i="27"/>
  <c r="G150" i="27"/>
  <c r="G157" i="27"/>
  <c r="G167" i="27"/>
  <c r="L150" i="27"/>
  <c r="L157" i="27"/>
  <c r="L167" i="27"/>
  <c r="L142" i="27"/>
  <c r="H150" i="27"/>
  <c r="H157" i="27"/>
  <c r="H167" i="27"/>
  <c r="H142" i="27"/>
  <c r="D150" i="27"/>
  <c r="D157" i="27"/>
  <c r="D167" i="27"/>
  <c r="D142" i="27"/>
  <c r="C150" i="27"/>
  <c r="C157" i="27"/>
  <c r="C167" i="27"/>
  <c r="C142" i="27"/>
  <c r="J142" i="27"/>
  <c r="J150" i="27"/>
  <c r="J157" i="27"/>
  <c r="J167" i="27"/>
  <c r="F142" i="27"/>
  <c r="F150" i="27"/>
  <c r="F157" i="27"/>
  <c r="F167" i="27"/>
  <c r="B87" i="14"/>
  <c r="D91" i="27"/>
  <c r="E90" i="27"/>
  <c r="R31" i="25"/>
  <c r="S31" i="25"/>
  <c r="T31" i="25"/>
  <c r="R30" i="25"/>
  <c r="S30" i="25"/>
  <c r="T30" i="25"/>
  <c r="C174" i="27"/>
  <c r="R27" i="25"/>
  <c r="S27" i="25"/>
  <c r="R32" i="25"/>
  <c r="T27" i="25"/>
  <c r="T32" i="25"/>
  <c r="S32" i="25"/>
  <c r="S13" i="16"/>
  <c r="R13" i="16"/>
  <c r="Q13" i="16"/>
  <c r="P13" i="16"/>
  <c r="O13" i="16"/>
  <c r="N13" i="16"/>
  <c r="M13" i="16"/>
  <c r="L13" i="16"/>
  <c r="R16" i="16" s="1"/>
  <c r="S12" i="16"/>
  <c r="R12" i="16"/>
  <c r="Q12" i="16"/>
  <c r="P12" i="16"/>
  <c r="P14" i="16" s="1"/>
  <c r="O12" i="16"/>
  <c r="N12" i="16"/>
  <c r="M12" i="16"/>
  <c r="L12" i="16"/>
  <c r="L14" i="16" s="1"/>
  <c r="P2" i="16"/>
  <c r="P20" i="16" s="1"/>
  <c r="P19" i="16"/>
  <c r="S97" i="14" s="1"/>
  <c r="O19" i="16"/>
  <c r="R97" i="14" s="1"/>
  <c r="N19" i="16"/>
  <c r="Q97" i="14" s="1"/>
  <c r="M19" i="16"/>
  <c r="P97" i="14" s="1"/>
  <c r="L19" i="16"/>
  <c r="O97" i="14" s="1"/>
  <c r="G86" i="14"/>
  <c r="E14" i="29"/>
  <c r="E15" i="29"/>
  <c r="H86" i="14"/>
  <c r="F14" i="29"/>
  <c r="F15" i="29"/>
  <c r="I86" i="14"/>
  <c r="G14" i="29"/>
  <c r="G15" i="29"/>
  <c r="J86" i="14"/>
  <c r="H14" i="29"/>
  <c r="H15" i="29"/>
  <c r="K86" i="14"/>
  <c r="I14" i="29"/>
  <c r="I15" i="29"/>
  <c r="L86" i="14"/>
  <c r="J14" i="29"/>
  <c r="J15" i="29"/>
  <c r="M86" i="14"/>
  <c r="K14" i="29"/>
  <c r="K15" i="29"/>
  <c r="N86" i="14"/>
  <c r="L14" i="29"/>
  <c r="L15" i="29"/>
  <c r="T86" i="14"/>
  <c r="U86" i="14"/>
  <c r="V86" i="14"/>
  <c r="T88" i="14"/>
  <c r="S25" i="25"/>
  <c r="U88" i="14"/>
  <c r="T25" i="25"/>
  <c r="V88" i="14"/>
  <c r="T89" i="14"/>
  <c r="U89" i="14"/>
  <c r="V89" i="14"/>
  <c r="C14" i="29"/>
  <c r="C15" i="29"/>
  <c r="F86" i="14"/>
  <c r="D14" i="29"/>
  <c r="D15" i="29"/>
  <c r="B89" i="14"/>
  <c r="B86" i="14"/>
  <c r="C22" i="29"/>
  <c r="G14" i="16"/>
  <c r="C14" i="16"/>
  <c r="H14" i="16"/>
  <c r="D14" i="16"/>
  <c r="I14" i="16"/>
  <c r="E14" i="16"/>
  <c r="J14" i="16"/>
  <c r="N14" i="16"/>
  <c r="R14" i="16"/>
  <c r="M14" i="16"/>
  <c r="Q14" i="16"/>
  <c r="K14" i="16"/>
  <c r="O14" i="16"/>
  <c r="S14" i="16"/>
  <c r="F14" i="16"/>
  <c r="M85" i="14"/>
  <c r="U85" i="14"/>
  <c r="U101" i="14"/>
  <c r="Q101" i="14"/>
  <c r="I85" i="14"/>
  <c r="V85" i="14"/>
  <c r="V101" i="14"/>
  <c r="R101" i="14"/>
  <c r="N85" i="14"/>
  <c r="J85" i="14"/>
  <c r="S101" i="14"/>
  <c r="O101" i="14"/>
  <c r="K85" i="14"/>
  <c r="G85" i="14"/>
  <c r="T85" i="14"/>
  <c r="T101" i="14"/>
  <c r="P101" i="14"/>
  <c r="L85" i="14"/>
  <c r="H85" i="14"/>
  <c r="J10" i="29"/>
  <c r="J11" i="29"/>
  <c r="J7" i="29"/>
  <c r="I10" i="29"/>
  <c r="I11" i="29"/>
  <c r="I7" i="29"/>
  <c r="H7" i="29"/>
  <c r="H10" i="29"/>
  <c r="H11" i="29"/>
  <c r="G10" i="29"/>
  <c r="G11" i="29"/>
  <c r="G7" i="29"/>
  <c r="E10" i="29"/>
  <c r="E11" i="29"/>
  <c r="E7" i="29"/>
  <c r="K10" i="29"/>
  <c r="K11" i="29"/>
  <c r="K7" i="29"/>
  <c r="F10" i="29"/>
  <c r="F11" i="29"/>
  <c r="F7" i="29"/>
  <c r="D7" i="29"/>
  <c r="D10" i="29"/>
  <c r="D11" i="29"/>
  <c r="L7" i="29"/>
  <c r="L10" i="29"/>
  <c r="L11" i="29"/>
  <c r="C10" i="29"/>
  <c r="C11" i="29"/>
  <c r="C7" i="29"/>
  <c r="T66" i="14"/>
  <c r="U66" i="14"/>
  <c r="V66" i="14"/>
  <c r="T67" i="14"/>
  <c r="U67" i="14"/>
  <c r="V67" i="14"/>
  <c r="D65" i="27"/>
  <c r="D64" i="27"/>
  <c r="E65" i="27"/>
  <c r="E64" i="27"/>
  <c r="C54" i="27"/>
  <c r="D54" i="27"/>
  <c r="E54" i="27"/>
  <c r="E23" i="14"/>
  <c r="V24" i="14"/>
  <c r="T24" i="14"/>
  <c r="U24" i="14"/>
  <c r="T23" i="14"/>
  <c r="U23" i="14"/>
  <c r="V23" i="14"/>
  <c r="C65" i="27"/>
  <c r="C64" i="27"/>
  <c r="L8" i="29"/>
  <c r="L9" i="29"/>
  <c r="H8" i="29"/>
  <c r="H9" i="29"/>
  <c r="F9" i="29"/>
  <c r="F8" i="29"/>
  <c r="E8" i="29"/>
  <c r="E9" i="29"/>
  <c r="J9" i="29"/>
  <c r="J8" i="29"/>
  <c r="D8" i="29"/>
  <c r="D9" i="29"/>
  <c r="K8" i="29"/>
  <c r="K9" i="29"/>
  <c r="G8" i="29"/>
  <c r="G9" i="29"/>
  <c r="I8" i="29"/>
  <c r="I9" i="29"/>
  <c r="C8" i="29"/>
  <c r="C9" i="29"/>
  <c r="T74" i="14"/>
  <c r="U74" i="14"/>
  <c r="V74" i="14"/>
  <c r="W74" i="14"/>
  <c r="W63" i="14"/>
  <c r="W109" i="14"/>
  <c r="C32" i="25"/>
  <c r="E22" i="27"/>
  <c r="E20" i="27"/>
  <c r="C22" i="27"/>
  <c r="C20" i="27"/>
  <c r="D22" i="27"/>
  <c r="D20" i="27"/>
  <c r="L12" i="29"/>
  <c r="L6" i="29"/>
  <c r="J12" i="29"/>
  <c r="J6" i="29"/>
  <c r="F12" i="29"/>
  <c r="F6" i="29"/>
  <c r="I12" i="29"/>
  <c r="I6" i="29"/>
  <c r="G12" i="29"/>
  <c r="G6" i="29"/>
  <c r="K12" i="29"/>
  <c r="K6" i="29"/>
  <c r="D12" i="29"/>
  <c r="D6" i="29"/>
  <c r="E12" i="29"/>
  <c r="E6" i="29"/>
  <c r="H12" i="29"/>
  <c r="H6" i="29"/>
  <c r="C12" i="29"/>
  <c r="C6" i="29"/>
  <c r="C2" i="29"/>
  <c r="C13" i="29"/>
  <c r="X74" i="14"/>
  <c r="X63" i="14"/>
  <c r="X109" i="14"/>
  <c r="E119" i="14"/>
  <c r="E121" i="14"/>
  <c r="E122" i="14"/>
  <c r="E131" i="14"/>
  <c r="F119" i="14"/>
  <c r="F121" i="14"/>
  <c r="F122" i="14"/>
  <c r="G119" i="14"/>
  <c r="G121" i="14"/>
  <c r="G122" i="14"/>
  <c r="E109" i="14"/>
  <c r="E116" i="14"/>
  <c r="R7" i="25"/>
  <c r="S7" i="25"/>
  <c r="T7" i="25"/>
  <c r="R8" i="25"/>
  <c r="S8" i="25"/>
  <c r="T8" i="25"/>
  <c r="R9" i="25"/>
  <c r="S9" i="25"/>
  <c r="T9" i="25"/>
  <c r="R10" i="25"/>
  <c r="S10" i="25"/>
  <c r="T10" i="25"/>
  <c r="C11" i="25"/>
  <c r="H119" i="14"/>
  <c r="C20" i="25"/>
  <c r="H121" i="14"/>
  <c r="H122" i="14"/>
  <c r="I119" i="14"/>
  <c r="I121" i="14"/>
  <c r="I122" i="14"/>
  <c r="J119" i="14"/>
  <c r="J121" i="14"/>
  <c r="J122" i="14"/>
  <c r="D5" i="29"/>
  <c r="K119" i="14"/>
  <c r="K121" i="14"/>
  <c r="K122" i="14"/>
  <c r="L119" i="14"/>
  <c r="L121" i="14"/>
  <c r="L122" i="14"/>
  <c r="M119" i="14"/>
  <c r="M121" i="14"/>
  <c r="M122" i="14"/>
  <c r="N119" i="14"/>
  <c r="N121" i="14"/>
  <c r="N122" i="14"/>
  <c r="O121" i="14"/>
  <c r="P121" i="14"/>
  <c r="O122" i="14"/>
  <c r="O127" i="14"/>
  <c r="Q121" i="14"/>
  <c r="P122" i="14"/>
  <c r="P127" i="14"/>
  <c r="R121" i="14"/>
  <c r="Q127" i="14"/>
  <c r="Q122" i="14"/>
  <c r="B7" i="16"/>
  <c r="B17" i="16"/>
  <c r="B14" i="16"/>
  <c r="T22" i="14"/>
  <c r="S121" i="14"/>
  <c r="R122" i="14"/>
  <c r="R127" i="14"/>
  <c r="U22" i="14"/>
  <c r="T121" i="14"/>
  <c r="S127" i="14"/>
  <c r="S122" i="14"/>
  <c r="C7" i="16"/>
  <c r="V22" i="14"/>
  <c r="V121" i="14"/>
  <c r="U121" i="14"/>
  <c r="T122" i="14"/>
  <c r="T127" i="14"/>
  <c r="D15" i="16"/>
  <c r="V122" i="14"/>
  <c r="V127" i="14"/>
  <c r="U127" i="14"/>
  <c r="U122" i="14"/>
  <c r="D7" i="16"/>
  <c r="E15" i="16"/>
  <c r="E5" i="29"/>
  <c r="E7" i="16"/>
  <c r="F5" i="29"/>
  <c r="F15" i="16"/>
  <c r="G5" i="29"/>
  <c r="F7" i="16"/>
  <c r="H5" i="29"/>
  <c r="C21" i="29"/>
  <c r="G15" i="16"/>
  <c r="I5" i="29"/>
  <c r="G7" i="16"/>
  <c r="J5" i="29"/>
  <c r="H15" i="16"/>
  <c r="K5" i="29"/>
  <c r="H7" i="16"/>
  <c r="L5" i="29"/>
  <c r="I15" i="16"/>
  <c r="I7" i="16"/>
  <c r="R6" i="25"/>
  <c r="J15" i="16"/>
  <c r="N16" i="16"/>
  <c r="M16" i="16"/>
  <c r="N6" i="16" s="1"/>
  <c r="Q95" i="14" s="1"/>
  <c r="S6" i="25"/>
  <c r="R11" i="25"/>
  <c r="R17" i="25"/>
  <c r="T75" i="14"/>
  <c r="R16" i="25"/>
  <c r="S11" i="25"/>
  <c r="T6" i="25"/>
  <c r="T11" i="25"/>
  <c r="U75" i="14"/>
  <c r="S17" i="25"/>
  <c r="V75" i="14"/>
  <c r="T17" i="25"/>
  <c r="R18" i="25"/>
  <c r="S16" i="25"/>
  <c r="S18" i="25"/>
  <c r="T16" i="25"/>
  <c r="R19" i="25"/>
  <c r="R20" i="25"/>
  <c r="T65" i="14"/>
  <c r="T64" i="14"/>
  <c r="B147" i="27"/>
  <c r="S19" i="25"/>
  <c r="S20" i="25"/>
  <c r="U65" i="14"/>
  <c r="U64" i="14"/>
  <c r="T18" i="25"/>
  <c r="T19" i="25"/>
  <c r="T20" i="25"/>
  <c r="V65" i="14"/>
  <c r="V64" i="14"/>
  <c r="B174" i="27"/>
  <c r="D108" i="14"/>
  <c r="D2" i="27"/>
  <c r="D16" i="27"/>
  <c r="E2" i="27"/>
  <c r="E16" i="27"/>
  <c r="F80" i="27"/>
  <c r="D79" i="14"/>
  <c r="F15" i="27"/>
  <c r="D3" i="27"/>
  <c r="D15" i="27"/>
  <c r="D14" i="27"/>
  <c r="E3" i="27"/>
  <c r="E14" i="27"/>
  <c r="E15" i="27"/>
  <c r="E17" i="14"/>
  <c r="D17" i="14"/>
  <c r="D6" i="14"/>
  <c r="E6" i="14"/>
  <c r="E125" i="14"/>
  <c r="E136" i="14"/>
  <c r="F116" i="14"/>
  <c r="E83" i="14"/>
  <c r="B108" i="27"/>
  <c r="G8" i="14"/>
  <c r="E114" i="14"/>
  <c r="E115" i="14"/>
  <c r="E129" i="14"/>
  <c r="E132" i="14"/>
  <c r="E137" i="14"/>
  <c r="E77" i="14"/>
  <c r="H8" i="14"/>
  <c r="E117" i="14"/>
  <c r="E135" i="14"/>
  <c r="E138" i="14"/>
  <c r="E82" i="14"/>
  <c r="B107" i="27"/>
  <c r="H123" i="14"/>
  <c r="H124" i="14"/>
  <c r="H131" i="14"/>
  <c r="F123" i="14"/>
  <c r="F124" i="14"/>
  <c r="F131" i="14"/>
  <c r="G123" i="14"/>
  <c r="G124" i="14"/>
  <c r="G131" i="14"/>
  <c r="I8" i="14"/>
  <c r="E127" i="14"/>
  <c r="F109" i="14"/>
  <c r="D4" i="29"/>
  <c r="D3" i="29"/>
  <c r="D2" i="29"/>
  <c r="D13" i="29"/>
  <c r="I123" i="14"/>
  <c r="I124" i="14"/>
  <c r="I131" i="14"/>
  <c r="J8" i="14"/>
  <c r="F125" i="14"/>
  <c r="F136" i="14"/>
  <c r="J123" i="14"/>
  <c r="J124" i="14"/>
  <c r="J131" i="14"/>
  <c r="K8" i="14"/>
  <c r="F114" i="14"/>
  <c r="F117" i="14"/>
  <c r="F135" i="14"/>
  <c r="F82" i="14"/>
  <c r="C107" i="27"/>
  <c r="K123" i="14"/>
  <c r="K124" i="14"/>
  <c r="K131" i="14"/>
  <c r="L8" i="14"/>
  <c r="F77" i="14"/>
  <c r="F20" i="14"/>
  <c r="F83" i="14"/>
  <c r="C108" i="27"/>
  <c r="T6" i="14"/>
  <c r="U6" i="14"/>
  <c r="V6" i="14"/>
  <c r="M8" i="14"/>
  <c r="F127" i="14"/>
  <c r="F115" i="14"/>
  <c r="F129" i="14"/>
  <c r="F132" i="14"/>
  <c r="F137" i="14"/>
  <c r="F138" i="14"/>
  <c r="L123" i="14"/>
  <c r="L124" i="14"/>
  <c r="L131" i="14"/>
  <c r="N8" i="14"/>
  <c r="O8" i="14"/>
  <c r="G116" i="14"/>
  <c r="M123" i="14"/>
  <c r="G109" i="14"/>
  <c r="E4" i="29"/>
  <c r="E3" i="29"/>
  <c r="E2" i="29"/>
  <c r="E13" i="29"/>
  <c r="G96" i="14"/>
  <c r="G98" i="14"/>
  <c r="G125" i="14"/>
  <c r="G136" i="14"/>
  <c r="M124" i="14"/>
  <c r="M131" i="14"/>
  <c r="P8" i="14"/>
  <c r="T55" i="14"/>
  <c r="U55" i="14"/>
  <c r="V55" i="14"/>
  <c r="N123" i="14"/>
  <c r="N124" i="14"/>
  <c r="N131" i="14"/>
  <c r="Q8" i="14"/>
  <c r="G83" i="14"/>
  <c r="D108" i="27"/>
  <c r="G114" i="14"/>
  <c r="G77" i="14"/>
  <c r="G20" i="14"/>
  <c r="R8" i="14"/>
  <c r="H116" i="14"/>
  <c r="G82" i="14"/>
  <c r="D107" i="27"/>
  <c r="G117" i="14"/>
  <c r="G115" i="14"/>
  <c r="G129" i="14"/>
  <c r="G132" i="14"/>
  <c r="G137" i="14"/>
  <c r="S8" i="14"/>
  <c r="G127" i="14"/>
  <c r="G135" i="14"/>
  <c r="G138" i="14"/>
  <c r="T8" i="14"/>
  <c r="U8" i="14"/>
  <c r="V8" i="14"/>
  <c r="H109" i="14"/>
  <c r="F4" i="29"/>
  <c r="F3" i="29"/>
  <c r="F2" i="29"/>
  <c r="F13" i="29"/>
  <c r="H96" i="14"/>
  <c r="H98" i="14"/>
  <c r="H125" i="14"/>
  <c r="H136" i="14"/>
  <c r="H77" i="14"/>
  <c r="H83" i="14"/>
  <c r="E108" i="27"/>
  <c r="H114" i="14"/>
  <c r="H20" i="14"/>
  <c r="H115" i="14"/>
  <c r="H129" i="14"/>
  <c r="H132" i="14"/>
  <c r="H137" i="14"/>
  <c r="H117" i="14"/>
  <c r="I116" i="14"/>
  <c r="H82" i="14"/>
  <c r="E107" i="27"/>
  <c r="H127" i="14"/>
  <c r="H135" i="14"/>
  <c r="H138" i="14"/>
  <c r="I109" i="14"/>
  <c r="G4" i="29"/>
  <c r="G3" i="29"/>
  <c r="G2" i="29"/>
  <c r="G13" i="29"/>
  <c r="I125" i="14"/>
  <c r="I136" i="14"/>
  <c r="I96" i="14"/>
  <c r="I98" i="14"/>
  <c r="I83" i="14"/>
  <c r="F108" i="27"/>
  <c r="I114" i="14"/>
  <c r="I77" i="14"/>
  <c r="I20" i="14"/>
  <c r="I82" i="14"/>
  <c r="F107" i="27"/>
  <c r="I115" i="14"/>
  <c r="I129" i="14"/>
  <c r="I132" i="14"/>
  <c r="I137" i="14"/>
  <c r="I117" i="14"/>
  <c r="J116" i="14"/>
  <c r="I127" i="14"/>
  <c r="I135" i="14"/>
  <c r="I138" i="14"/>
  <c r="J109" i="14"/>
  <c r="H4" i="29"/>
  <c r="H3" i="29"/>
  <c r="H2" i="29"/>
  <c r="H13" i="29"/>
  <c r="J96" i="14"/>
  <c r="J98" i="14"/>
  <c r="J125" i="14"/>
  <c r="J136" i="14"/>
  <c r="J20" i="14"/>
  <c r="J83" i="14"/>
  <c r="G108" i="27"/>
  <c r="J77" i="14"/>
  <c r="J114" i="14"/>
  <c r="K116" i="14"/>
  <c r="J82" i="14"/>
  <c r="G107" i="27"/>
  <c r="J115" i="14"/>
  <c r="J129" i="14"/>
  <c r="J132" i="14"/>
  <c r="J137" i="14"/>
  <c r="J117" i="14"/>
  <c r="J135" i="14"/>
  <c r="J138" i="14"/>
  <c r="J127" i="14"/>
  <c r="K109" i="14"/>
  <c r="I4" i="29"/>
  <c r="I3" i="29"/>
  <c r="I2" i="29"/>
  <c r="I13" i="29"/>
  <c r="K125" i="14"/>
  <c r="K136" i="14"/>
  <c r="K96" i="14"/>
  <c r="K98" i="14"/>
  <c r="K20" i="14"/>
  <c r="K83" i="14"/>
  <c r="H108" i="27"/>
  <c r="K77" i="14"/>
  <c r="K114" i="14"/>
  <c r="L116" i="14"/>
  <c r="K117" i="14"/>
  <c r="K115" i="14"/>
  <c r="K129" i="14"/>
  <c r="K132" i="14"/>
  <c r="K137" i="14"/>
  <c r="K82" i="14"/>
  <c r="H107" i="27"/>
  <c r="K127" i="14"/>
  <c r="K135" i="14"/>
  <c r="K138" i="14"/>
  <c r="L109" i="14"/>
  <c r="J4" i="29"/>
  <c r="J3" i="29"/>
  <c r="J2" i="29"/>
  <c r="J13" i="29"/>
  <c r="L125" i="14"/>
  <c r="L136" i="14"/>
  <c r="L96" i="14"/>
  <c r="L98" i="14"/>
  <c r="L20" i="14"/>
  <c r="L77" i="14"/>
  <c r="L83" i="14"/>
  <c r="I108" i="27"/>
  <c r="L114" i="14"/>
  <c r="L115" i="14"/>
  <c r="L129" i="14"/>
  <c r="L132" i="14"/>
  <c r="L137" i="14"/>
  <c r="L117" i="14"/>
  <c r="L82" i="14"/>
  <c r="I107" i="27"/>
  <c r="M116" i="14"/>
  <c r="L127" i="14"/>
  <c r="L135" i="14"/>
  <c r="L138" i="14"/>
  <c r="M109" i="14"/>
  <c r="K4" i="29"/>
  <c r="K3" i="29"/>
  <c r="K2" i="29"/>
  <c r="K13" i="29"/>
  <c r="M125" i="14"/>
  <c r="M136" i="14"/>
  <c r="M83" i="14"/>
  <c r="J108" i="27"/>
  <c r="M77" i="14"/>
  <c r="M20" i="14"/>
  <c r="M114" i="14"/>
  <c r="M117" i="14"/>
  <c r="M115" i="14"/>
  <c r="M129" i="14"/>
  <c r="M132" i="14"/>
  <c r="M137" i="14"/>
  <c r="N116" i="14"/>
  <c r="M82" i="14"/>
  <c r="J107" i="27"/>
  <c r="M135" i="14"/>
  <c r="M138" i="14"/>
  <c r="M127" i="14"/>
  <c r="N109" i="14"/>
  <c r="L4" i="29"/>
  <c r="L3" i="29"/>
  <c r="L2" i="29"/>
  <c r="L13" i="29"/>
  <c r="C20" i="29"/>
  <c r="C24" i="29"/>
  <c r="D24" i="29"/>
  <c r="N125" i="14"/>
  <c r="N136" i="14"/>
  <c r="N83" i="14"/>
  <c r="K108" i="27"/>
  <c r="N114" i="14"/>
  <c r="N20" i="14"/>
  <c r="N77" i="14"/>
  <c r="N82" i="14"/>
  <c r="K107" i="27"/>
  <c r="N117" i="14"/>
  <c r="N115" i="14"/>
  <c r="N129" i="14"/>
  <c r="N132" i="14"/>
  <c r="N137" i="14"/>
  <c r="O116" i="14"/>
  <c r="O117" i="14"/>
  <c r="O135" i="14"/>
  <c r="O109" i="14"/>
  <c r="N135" i="14"/>
  <c r="N138" i="14"/>
  <c r="N127" i="14"/>
  <c r="O100" i="14"/>
  <c r="P116" i="14"/>
  <c r="P117" i="14"/>
  <c r="P135" i="14"/>
  <c r="P109" i="14"/>
  <c r="P100" i="14"/>
  <c r="Q116" i="14"/>
  <c r="Q117" i="14"/>
  <c r="Q135" i="14"/>
  <c r="Q109" i="14"/>
  <c r="Q100" i="14"/>
  <c r="R116" i="14"/>
  <c r="R117" i="14"/>
  <c r="R135" i="14"/>
  <c r="R109" i="14"/>
  <c r="R100" i="14"/>
  <c r="S116" i="14"/>
  <c r="S117" i="14"/>
  <c r="S135" i="14"/>
  <c r="S109" i="14"/>
  <c r="S100" i="14"/>
  <c r="S20" i="14"/>
  <c r="T70" i="14"/>
  <c r="T116" i="14"/>
  <c r="T117" i="14"/>
  <c r="T135" i="14"/>
  <c r="T80" i="14"/>
  <c r="O6" i="16" l="1"/>
  <c r="R95" i="14" s="1"/>
  <c r="J7" i="16"/>
  <c r="K20" i="16"/>
  <c r="M96" i="14"/>
  <c r="M98" i="14" s="1"/>
  <c r="M102" i="14"/>
  <c r="M103" i="14" s="1"/>
  <c r="Q102" i="14"/>
  <c r="Q103" i="14" s="1"/>
  <c r="Q96" i="14"/>
  <c r="Q98" i="14" s="1"/>
  <c r="N96" i="14"/>
  <c r="N102" i="14"/>
  <c r="N103" i="14" s="1"/>
  <c r="O16" i="16"/>
  <c r="L16" i="16"/>
  <c r="Q16" i="16"/>
  <c r="P16" i="16"/>
  <c r="S16" i="16"/>
  <c r="Q6" i="16" l="1"/>
  <c r="T95" i="14" s="1"/>
  <c r="T102" i="14" s="1"/>
  <c r="L15" i="16"/>
  <c r="K15" i="16"/>
  <c r="K17" i="16"/>
  <c r="L20" i="16" s="1"/>
  <c r="M17" i="16"/>
  <c r="O17" i="16"/>
  <c r="S17" i="16"/>
  <c r="L17" i="16"/>
  <c r="R15" i="16"/>
  <c r="Q15" i="16"/>
  <c r="P6" i="16"/>
  <c r="S95" i="14" s="1"/>
  <c r="O15" i="16"/>
  <c r="K7" i="16"/>
  <c r="D103" i="14"/>
  <c r="D105" i="14" s="1"/>
  <c r="D106" i="14"/>
  <c r="E106" i="14" s="1"/>
  <c r="M6" i="16"/>
  <c r="P95" i="14" s="1"/>
  <c r="L6" i="16"/>
  <c r="O95" i="14" s="1"/>
  <c r="N98" i="14"/>
  <c r="S15" i="16"/>
  <c r="R96" i="14"/>
  <c r="R98" i="14" s="1"/>
  <c r="R102" i="14"/>
  <c r="R103" i="14" s="1"/>
  <c r="O96" i="14" l="1"/>
  <c r="O98" i="14" s="1"/>
  <c r="O102" i="14"/>
  <c r="O103" i="14" s="1"/>
  <c r="P102" i="14"/>
  <c r="P103" i="14" s="1"/>
  <c r="P96" i="14"/>
  <c r="P98" i="14" s="1"/>
  <c r="N15" i="16"/>
  <c r="P15" i="16"/>
  <c r="R17" i="16"/>
  <c r="Q17" i="16"/>
  <c r="N17" i="16"/>
  <c r="M15" i="16"/>
  <c r="P17" i="16"/>
  <c r="S96" i="14"/>
  <c r="S98" i="14" s="1"/>
  <c r="S102" i="14"/>
  <c r="S103" i="14" s="1"/>
  <c r="U20" i="14"/>
  <c r="U79" i="14"/>
  <c r="U77" i="14"/>
  <c r="V77" i="14"/>
  <c r="V79" i="14"/>
  <c r="V20" i="14"/>
  <c r="T77" i="14"/>
  <c r="T20" i="14"/>
  <c r="T79" i="14"/>
  <c r="U82" i="14"/>
  <c r="U81" i="14"/>
  <c r="V80" i="14"/>
  <c r="U100" i="14"/>
  <c r="U103" i="14"/>
  <c r="V109" i="14"/>
  <c r="U96" i="14"/>
  <c r="U98" i="14"/>
  <c r="V135" i="14"/>
  <c r="U80" i="14"/>
  <c r="T81" i="14"/>
  <c r="T82" i="14"/>
  <c r="V100" i="14"/>
  <c r="V103" i="14"/>
  <c r="U63" i="14"/>
  <c r="U109" i="14"/>
  <c r="V96" i="14"/>
  <c r="V98" i="14"/>
  <c r="V10" i="14"/>
  <c r="V18" i="14"/>
  <c r="V9" i="14"/>
  <c r="U18" i="14"/>
  <c r="U9" i="14"/>
  <c r="U10" i="14"/>
  <c r="T18" i="14"/>
  <c r="T9" i="14"/>
  <c r="T10" i="14"/>
  <c r="U93" i="14"/>
  <c r="U78" i="14"/>
  <c r="U68" i="14"/>
  <c r="V93" i="14"/>
  <c r="V116" i="14"/>
  <c r="V117" i="14"/>
  <c r="T96" i="14"/>
  <c r="T98" i="14"/>
  <c r="T93" i="14"/>
  <c r="T100" i="14"/>
  <c r="T103" i="14"/>
  <c r="V7" i="14"/>
  <c r="V5" i="14"/>
  <c r="V57" i="14"/>
  <c r="V53" i="14"/>
  <c r="V21" i="14"/>
  <c r="V19" i="14"/>
  <c r="V81" i="14"/>
  <c r="V82" i="14"/>
  <c r="T78" i="14"/>
  <c r="T68" i="14"/>
  <c r="T63" i="14"/>
  <c r="T109" i="14"/>
  <c r="T7" i="14"/>
  <c r="T5" i="14"/>
  <c r="T57" i="14"/>
  <c r="T53" i="14"/>
  <c r="T21" i="14"/>
  <c r="T19" i="14"/>
  <c r="U70" i="14"/>
  <c r="U116" i="14"/>
  <c r="U117" i="14"/>
  <c r="U135" i="14"/>
  <c r="V70" i="14"/>
  <c r="V78" i="14"/>
  <c r="V68" i="14"/>
  <c r="V63" i="14"/>
  <c r="U7" i="14"/>
  <c r="U5" i="14"/>
  <c r="U57" i="14"/>
  <c r="U53" i="14"/>
  <c r="U21" i="14"/>
  <c r="U19" i="14"/>
</calcChain>
</file>

<file path=xl/sharedStrings.xml><?xml version="1.0" encoding="utf-8"?>
<sst xmlns="http://schemas.openxmlformats.org/spreadsheetml/2006/main" count="441" uniqueCount="261">
  <si>
    <t>№
п/п</t>
  </si>
  <si>
    <t>Наименование статей затрат</t>
  </si>
  <si>
    <t>Ед.изм.</t>
  </si>
  <si>
    <t>1.1</t>
  </si>
  <si>
    <t>тыс.м3</t>
  </si>
  <si>
    <t>1.2</t>
  </si>
  <si>
    <t>1.3</t>
  </si>
  <si>
    <t>%</t>
  </si>
  <si>
    <t>1.4</t>
  </si>
  <si>
    <t>1.5</t>
  </si>
  <si>
    <t>операционные расходы</t>
  </si>
  <si>
    <t>тыс.руб.</t>
  </si>
  <si>
    <t>неподконтрольные расходы</t>
  </si>
  <si>
    <t xml:space="preserve">Расходы на амортизации ОС и НМА </t>
  </si>
  <si>
    <t>Нормативная прибыль</t>
  </si>
  <si>
    <t xml:space="preserve"> НВВ </t>
  </si>
  <si>
    <t>2</t>
  </si>
  <si>
    <t>1</t>
  </si>
  <si>
    <t>3</t>
  </si>
  <si>
    <t xml:space="preserve">расходы на приобретение ЭЭ </t>
  </si>
  <si>
    <t>Текущие расходы:</t>
  </si>
  <si>
    <t>2.1</t>
  </si>
  <si>
    <t>2.1.1</t>
  </si>
  <si>
    <t>2.1.2</t>
  </si>
  <si>
    <t>2.1.3</t>
  </si>
  <si>
    <t>2.2</t>
  </si>
  <si>
    <t>2.3</t>
  </si>
  <si>
    <t>2.4</t>
  </si>
  <si>
    <t>руб.</t>
  </si>
  <si>
    <t>объем электроэнергии</t>
  </si>
  <si>
    <t>сбытовые расходы ГО</t>
  </si>
  <si>
    <t>удельный расход ЭЭ</t>
  </si>
  <si>
    <t>4</t>
  </si>
  <si>
    <t>с 1 января</t>
  </si>
  <si>
    <t>с 1 июля</t>
  </si>
  <si>
    <t>Темп роста с июля</t>
  </si>
  <si>
    <t>Темп снижения объема</t>
  </si>
  <si>
    <t>индекс эффективности расходов</t>
  </si>
  <si>
    <t>индекс потребительских цен</t>
  </si>
  <si>
    <t>налог на прибыль</t>
  </si>
  <si>
    <t>Предпринимательская прибыль ГО (5%)</t>
  </si>
  <si>
    <t>Инвестиционная программа</t>
  </si>
  <si>
    <t>Возврат кредита</t>
  </si>
  <si>
    <t>норма прибыли</t>
  </si>
  <si>
    <t>индекс изм количества активов</t>
  </si>
  <si>
    <t>Метод индексации</t>
  </si>
  <si>
    <t>ИТОГО</t>
  </si>
  <si>
    <t xml:space="preserve">ТЕМП РОСТА НВВ </t>
  </si>
  <si>
    <t>НАЛОГ НА ИМУЩЕСТВО</t>
  </si>
  <si>
    <t>Аморт</t>
  </si>
  <si>
    <t>стоимость ОС на начало года</t>
  </si>
  <si>
    <t>стоимость ОС на конец года</t>
  </si>
  <si>
    <t>Среднегодовая стоимость  ОС</t>
  </si>
  <si>
    <t>Налог на имущество (2,2 %)</t>
  </si>
  <si>
    <t>налоги, в том числе:</t>
  </si>
  <si>
    <t>налог на имущество</t>
  </si>
  <si>
    <t>налог на землю</t>
  </si>
  <si>
    <t>2012 Факт</t>
  </si>
  <si>
    <t>2013 Факт</t>
  </si>
  <si>
    <t>2014 Факт</t>
  </si>
  <si>
    <t>Индекс потребительских цен</t>
  </si>
  <si>
    <t>Индекс капитальных вложений</t>
  </si>
  <si>
    <t>Индекс цен на электрическую энергию</t>
  </si>
  <si>
    <t>Индекс цен на тепловую энергию</t>
  </si>
  <si>
    <t>Индекс цен на газ</t>
  </si>
  <si>
    <t>Индекс эффективности расходов</t>
  </si>
  <si>
    <t>Водный налог</t>
  </si>
  <si>
    <t>Налог на имущество организаций</t>
  </si>
  <si>
    <t>ПАРАМЕТРЫ РЕГУЛИРОВАНИЯ</t>
  </si>
  <si>
    <t>Предпринимательская прибыль</t>
  </si>
  <si>
    <t>Средняя норма амортизационных отчислений</t>
  </si>
  <si>
    <t>Сбытовые расходы гарнтирующей организации</t>
  </si>
  <si>
    <t>тыс.кВт*ч</t>
  </si>
  <si>
    <t>Ставка</t>
  </si>
  <si>
    <t>Ключевая ставка</t>
  </si>
  <si>
    <t>Премия за риск</t>
  </si>
  <si>
    <t>Ставка банковского кредита</t>
  </si>
  <si>
    <t xml:space="preserve"> </t>
  </si>
  <si>
    <t>Инвестиции</t>
  </si>
  <si>
    <t>Дисконтированный денежный поток</t>
  </si>
  <si>
    <t>Справочно</t>
  </si>
  <si>
    <t>Собственные средства</t>
  </si>
  <si>
    <t>Кредит</t>
  </si>
  <si>
    <t>Инвестиции нарастающим</t>
  </si>
  <si>
    <t>Кредит нарастающим итогом</t>
  </si>
  <si>
    <t>Собственные средства нарастающим итогом</t>
  </si>
  <si>
    <t>Возврат сосбственных средств</t>
  </si>
  <si>
    <t>Льготный период лет</t>
  </si>
  <si>
    <t>Срок возврата собственных средств</t>
  </si>
  <si>
    <t>% по кредиту</t>
  </si>
  <si>
    <t>% собственные средства</t>
  </si>
  <si>
    <t>Всего привлеченные денежные средства</t>
  </si>
  <si>
    <t>Полезный отпуск</t>
  </si>
  <si>
    <t>Население</t>
  </si>
  <si>
    <t>Прочие</t>
  </si>
  <si>
    <t>Итого</t>
  </si>
  <si>
    <t>Изменение полезного отпуска</t>
  </si>
  <si>
    <t>Темп изменения</t>
  </si>
  <si>
    <t>Денежный поток от операционной деятельности</t>
  </si>
  <si>
    <t>Сальдо денежного потока</t>
  </si>
  <si>
    <t>Фонд ЖКХ</t>
  </si>
  <si>
    <t>Региональный и местный бюджет</t>
  </si>
  <si>
    <t>Средства концессионера в т.ч.:</t>
  </si>
  <si>
    <t>Инвестиции всего</t>
  </si>
  <si>
    <t>Доля средств</t>
  </si>
  <si>
    <t>Сосбственные средства</t>
  </si>
  <si>
    <t>Привлеченные средства (кредит)</t>
  </si>
  <si>
    <t>Нормативная прибыль руб.</t>
  </si>
  <si>
    <t>Рост тарифа с июля (проверка)</t>
  </si>
  <si>
    <t>5</t>
  </si>
  <si>
    <t>Темп роста тарифа среднегодовой</t>
  </si>
  <si>
    <t>Рост тарифа среднегодовой (проверка)</t>
  </si>
  <si>
    <t>Денежный поток нарастающим итогом</t>
  </si>
  <si>
    <t xml:space="preserve">Предпринимательская прибыль ГО </t>
  </si>
  <si>
    <t>Доля в инвестрованном капитале</t>
  </si>
  <si>
    <t>Расчет WACC</t>
  </si>
  <si>
    <t>Финансирование на начало периода</t>
  </si>
  <si>
    <t>Ставка налога на прибыль</t>
  </si>
  <si>
    <t>Процентные ставки</t>
  </si>
  <si>
    <t>Собственные е средства после налогов</t>
  </si>
  <si>
    <t>Привлеченные средства (кредит) после налогов</t>
  </si>
  <si>
    <t>Стоимость капала</t>
  </si>
  <si>
    <t>WACC ежегодно</t>
  </si>
  <si>
    <t>Стоимость капитала ежегодно</t>
  </si>
  <si>
    <t>NPV</t>
  </si>
  <si>
    <t>IRR</t>
  </si>
  <si>
    <t>Ввод в эксплуатацию</t>
  </si>
  <si>
    <t>Коэффициент дисконтирования</t>
  </si>
  <si>
    <t>Расчет коэффициента дисконтрования годовой</t>
  </si>
  <si>
    <t>Операционный денежный поток (OCF)</t>
  </si>
  <si>
    <t>Инвестиционный денежный поток (ICF)</t>
  </si>
  <si>
    <t>Проценты по кредиту (i)</t>
  </si>
  <si>
    <t>Срок возврата кредита</t>
  </si>
  <si>
    <t>База 2015</t>
  </si>
  <si>
    <t>Возрат кредита</t>
  </si>
  <si>
    <t>Выработано тепловой энергии всего:</t>
  </si>
  <si>
    <t>в виде горячей воды</t>
  </si>
  <si>
    <t>в виде пара</t>
  </si>
  <si>
    <t>в том числе выработано на:</t>
  </si>
  <si>
    <t>на газовом топливе</t>
  </si>
  <si>
    <t>на мазуте</t>
  </si>
  <si>
    <t>на дизельном топливе</t>
  </si>
  <si>
    <t>на твердом топливе</t>
  </si>
  <si>
    <t>на электрокотлах</t>
  </si>
  <si>
    <t>Собственные нужды котельной</t>
  </si>
  <si>
    <t>Получено тепловой энергии со стороны</t>
  </si>
  <si>
    <t>Потери тепловой энергии</t>
  </si>
  <si>
    <t>Гкал</t>
  </si>
  <si>
    <t>% потерь к отпуску в сеть</t>
  </si>
  <si>
    <t>% потерь к произведенной тепловой энергии</t>
  </si>
  <si>
    <t>Отпущено тепловой энергии всего</t>
  </si>
  <si>
    <t>Удельный расход условного топлива на производство тепловой энергии</t>
  </si>
  <si>
    <t>кг. у.т./Гкал</t>
  </si>
  <si>
    <t>Расход условного топлива на производство тепловой энергии</t>
  </si>
  <si>
    <t>т.у.т.</t>
  </si>
  <si>
    <t>Топливо на технологические цели - всего</t>
  </si>
  <si>
    <t>в том числе по видам топлива:</t>
  </si>
  <si>
    <t>газ</t>
  </si>
  <si>
    <t>мазут</t>
  </si>
  <si>
    <t>дизельное топливо</t>
  </si>
  <si>
    <t>уголь</t>
  </si>
  <si>
    <t>др. виды топлива</t>
  </si>
  <si>
    <t>x</t>
  </si>
  <si>
    <t>тыс.т</t>
  </si>
  <si>
    <t>тариф на э/э</t>
  </si>
  <si>
    <t>цена</t>
  </si>
  <si>
    <t>объем</t>
  </si>
  <si>
    <t xml:space="preserve">удельный расход </t>
  </si>
  <si>
    <t>коэффициент перевода</t>
  </si>
  <si>
    <t>тн.</t>
  </si>
  <si>
    <t>тн/Гкал</t>
  </si>
  <si>
    <t>тыс.м3/Гкал</t>
  </si>
  <si>
    <t>квт.ч/Гкал</t>
  </si>
  <si>
    <t>тн</t>
  </si>
  <si>
    <t xml:space="preserve">расходы на приобретение воды </t>
  </si>
  <si>
    <t>тариф на воду</t>
  </si>
  <si>
    <t>объем воды</t>
  </si>
  <si>
    <t>руб.м3</t>
  </si>
  <si>
    <t>м3</t>
  </si>
  <si>
    <t>тариф канализование</t>
  </si>
  <si>
    <t>негативные расходы</t>
  </si>
  <si>
    <t>расходы по иным регулируемым видам деятельности</t>
  </si>
  <si>
    <t>Соц развитие</t>
  </si>
  <si>
    <t>Арендная плата</t>
  </si>
  <si>
    <t>1.1.1</t>
  </si>
  <si>
    <t>1.1.2</t>
  </si>
  <si>
    <t>1.2.1</t>
  </si>
  <si>
    <t>1.2.2</t>
  </si>
  <si>
    <t>1.2.3</t>
  </si>
  <si>
    <t>1.2.4</t>
  </si>
  <si>
    <t>1.2.5</t>
  </si>
  <si>
    <t>1.6</t>
  </si>
  <si>
    <t>2.1.4</t>
  </si>
  <si>
    <t>2.1.5</t>
  </si>
  <si>
    <t>среднегодовая стоимость тн.</t>
  </si>
  <si>
    <t>среднегодовая стоимость тыс.м3</t>
  </si>
  <si>
    <t>2.1.6</t>
  </si>
  <si>
    <t>2.1.7</t>
  </si>
  <si>
    <t>Тарифы тепловую энергию средний</t>
  </si>
  <si>
    <t>Операционные расходы, в т.ч.:</t>
  </si>
  <si>
    <t>З/П</t>
  </si>
  <si>
    <t>доля з/п в операционных расходах</t>
  </si>
  <si>
    <t xml:space="preserve">Выручка </t>
  </si>
  <si>
    <t>НДС по выручке</t>
  </si>
  <si>
    <t>Операцинные расходы</t>
  </si>
  <si>
    <t>НДС по операционным расходам</t>
  </si>
  <si>
    <t>Расходы на топпливо, э/э, воду</t>
  </si>
  <si>
    <t>НДС по топливу</t>
  </si>
  <si>
    <t>Неподконтрольные расходы</t>
  </si>
  <si>
    <t>Денежный поток по операционной деятельности без НДС</t>
  </si>
  <si>
    <t>Недосбор</t>
  </si>
  <si>
    <t>Итого выручка без НДС</t>
  </si>
  <si>
    <t>НДС исходящий</t>
  </si>
  <si>
    <t>НДС входящий</t>
  </si>
  <si>
    <t>НДС к уплате</t>
  </si>
  <si>
    <t>Cash in</t>
  </si>
  <si>
    <t>Cash out</t>
  </si>
  <si>
    <t>НДС</t>
  </si>
  <si>
    <t>FCF</t>
  </si>
  <si>
    <t>НДС по инвест деят-ти</t>
  </si>
  <si>
    <t>Ставка НДС</t>
  </si>
  <si>
    <t>т.у.т газ</t>
  </si>
  <si>
    <t>т.у.т мазут</t>
  </si>
  <si>
    <t>т.у.т дизельное топливо</t>
  </si>
  <si>
    <t>т.у.т уголь</t>
  </si>
  <si>
    <t>кВт*ч/Гкал</t>
  </si>
  <si>
    <t>удельный расход воды</t>
  </si>
  <si>
    <t>Возмещение НДС по инвестиционной деятельности</t>
  </si>
  <si>
    <t>ТЕПЛО</t>
  </si>
  <si>
    <t>АМОРТИЗАЦИЯ ДЛЯ НАЛОГА НА ИМУЩЕСТВО</t>
  </si>
  <si>
    <t>АМОРТИЗАЦИЯ ДЛЯ ТАРИФА</t>
  </si>
  <si>
    <t>собственные нужды</t>
  </si>
  <si>
    <t>транспортный налог</t>
  </si>
  <si>
    <t>2016 РЭК</t>
  </si>
  <si>
    <t>База 2015-2016</t>
  </si>
  <si>
    <t>Отчисления на социальные нужды</t>
  </si>
  <si>
    <t>Отчисления на соц нужды</t>
  </si>
  <si>
    <t>WACC ПРОЕКТА</t>
  </si>
  <si>
    <t>Бюджетные доходы</t>
  </si>
  <si>
    <t>Прямые налоги в т.ч.</t>
  </si>
  <si>
    <t>Налог на прибыль</t>
  </si>
  <si>
    <t>Налог на имущество</t>
  </si>
  <si>
    <t>Косвенные налоги в т.ч.</t>
  </si>
  <si>
    <t>Сумма З/П в инвестициях</t>
  </si>
  <si>
    <t>НДФЛ</t>
  </si>
  <si>
    <t>Внебюджетные фонды</t>
  </si>
  <si>
    <t>Объем прибыли в строительстве</t>
  </si>
  <si>
    <t>Дисконтированные бюджетные доходы</t>
  </si>
  <si>
    <t>Бюджетные инвестиции (расходы)</t>
  </si>
  <si>
    <t>Дисконтированные бюджетные инвестиции</t>
  </si>
  <si>
    <t>ИПЦ</t>
  </si>
  <si>
    <t>Остаточня стоимость ОС</t>
  </si>
  <si>
    <t>Бюджетная эффективность</t>
  </si>
  <si>
    <t>Рентабельность в строительной отрасли</t>
  </si>
  <si>
    <t>Ставка Фонда</t>
  </si>
  <si>
    <t>WACC на 10 лет</t>
  </si>
  <si>
    <t>Прогнозный период</t>
  </si>
  <si>
    <t>лет</t>
  </si>
  <si>
    <t>2015 Факт</t>
  </si>
  <si>
    <t>Тарифы на ловую эенргию (средние)</t>
  </si>
  <si>
    <t>руб./Гкал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</si>
</sst>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0.0"/>
    <numFmt numFmtId="168" formatCode="0.0%"/>
    <numFmt numFmtId="169" formatCode="_-* #,##0_р_._-;\-* #,##0_р_._-;_-* &quot;-&quot;??_р_._-;_-@_-"/>
    <numFmt numFmtId="170" formatCode="_-* #,##0.000_р_._-;\-* #,##0.000_р_._-;_-* &quot;-&quot;??_р_._-;_-@_-"/>
    <numFmt numFmtId="171" formatCode="_-* #,##0.0_р_._-;\-* #,##0.0_р_._-;_-* &quot;-&quot;??_р_._-;_-@_-"/>
    <numFmt numFmtId="172" formatCode="_-* #,##0.00\ _р_._-;\-* #,##0.00\ _р_._-;_-* &quot;-&quot;?\ _р_._-;_-@_-"/>
    <numFmt numFmtId="173" formatCode="#,##0.00_ ;\-#,##0.00\ "/>
  </numFmts>
  <fonts count="3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lightGray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0"/>
    <xf numFmtId="164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30" fillId="0" borderId="0"/>
  </cellStyleXfs>
  <cellXfs count="393">
    <xf numFmtId="0" fontId="0" fillId="0" borderId="0" xfId="0"/>
    <xf numFmtId="0" fontId="2" fillId="0" borderId="1" xfId="2" applyFont="1" applyFill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horizontal="left" vertical="center" wrapText="1" indent="1"/>
    </xf>
    <xf numFmtId="0" fontId="4" fillId="0" borderId="1" xfId="2" applyFont="1" applyFill="1" applyBorder="1" applyAlignment="1" applyProtection="1">
      <alignment horizontal="center" vertical="center"/>
    </xf>
    <xf numFmtId="49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left" vertical="center" wrapText="1" indent="1"/>
    </xf>
    <xf numFmtId="49" fontId="2" fillId="0" borderId="2" xfId="2" applyNumberFormat="1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49" fontId="3" fillId="2" borderId="3" xfId="2" applyNumberFormat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vertical="center" wrapText="1"/>
    </xf>
    <xf numFmtId="49" fontId="2" fillId="2" borderId="1" xfId="2" applyNumberFormat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vertical="center"/>
    </xf>
    <xf numFmtId="0" fontId="2" fillId="2" borderId="1" xfId="1" applyFont="1" applyFill="1" applyBorder="1" applyAlignment="1" applyProtection="1">
      <alignment horizontal="left" vertical="center" indent="2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vertical="center" wrapText="1"/>
    </xf>
    <xf numFmtId="0" fontId="3" fillId="2" borderId="3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0" fontId="2" fillId="0" borderId="1" xfId="2" applyNumberFormat="1" applyFont="1" applyFill="1" applyBorder="1" applyAlignment="1" applyProtection="1">
      <alignment horizontal="left" vertical="center" wrapText="1" indent="4"/>
    </xf>
    <xf numFmtId="2" fontId="3" fillId="2" borderId="3" xfId="1" applyNumberFormat="1" applyFont="1" applyFill="1" applyBorder="1" applyAlignment="1" applyProtection="1">
      <alignment horizontal="center" vertical="center"/>
    </xf>
    <xf numFmtId="2" fontId="3" fillId="2" borderId="1" xfId="1" applyNumberFormat="1" applyFont="1" applyFill="1" applyBorder="1" applyAlignment="1" applyProtection="1">
      <alignment horizontal="center" vertical="center"/>
    </xf>
    <xf numFmtId="0" fontId="0" fillId="0" borderId="1" xfId="0" applyBorder="1"/>
    <xf numFmtId="1" fontId="4" fillId="0" borderId="1" xfId="2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3" fillId="2" borderId="1" xfId="1" applyFont="1" applyFill="1" applyBorder="1" applyAlignment="1" applyProtection="1">
      <alignment vertical="center" wrapText="1"/>
    </xf>
    <xf numFmtId="0" fontId="3" fillId="2" borderId="1" xfId="1" applyFont="1" applyFill="1" applyBorder="1" applyAlignment="1" applyProtection="1">
      <alignment horizontal="left" vertical="center" wrapText="1" indent="1"/>
    </xf>
    <xf numFmtId="49" fontId="3" fillId="2" borderId="1" xfId="2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center" vertical="center"/>
    </xf>
    <xf numFmtId="0" fontId="2" fillId="0" borderId="1" xfId="2" applyFont="1" applyFill="1" applyBorder="1" applyAlignment="1" applyProtection="1">
      <alignment horizontal="center" vertical="center" wrapText="1"/>
    </xf>
    <xf numFmtId="9" fontId="2" fillId="5" borderId="1" xfId="1" applyNumberFormat="1" applyFont="1" applyFill="1" applyBorder="1" applyAlignment="1" applyProtection="1">
      <alignment horizontal="center" vertical="center"/>
    </xf>
    <xf numFmtId="0" fontId="13" fillId="0" borderId="0" xfId="0" applyFont="1"/>
    <xf numFmtId="9" fontId="12" fillId="0" borderId="0" xfId="3" applyFont="1" applyFill="1" applyBorder="1" applyAlignment="1" applyProtection="1">
      <alignment horizontal="center" vertical="center"/>
    </xf>
    <xf numFmtId="0" fontId="0" fillId="0" borderId="0" xfId="0" applyFill="1"/>
    <xf numFmtId="0" fontId="18" fillId="0" borderId="0" xfId="0" applyFont="1"/>
    <xf numFmtId="0" fontId="4" fillId="0" borderId="1" xfId="2" applyFont="1" applyFill="1" applyBorder="1" applyAlignment="1" applyProtection="1">
      <alignment horizontal="left" vertical="center" wrapText="1" indent="2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8" fontId="0" fillId="0" borderId="1" xfId="3" applyNumberFormat="1" applyFont="1" applyBorder="1" applyAlignment="1">
      <alignment horizontal="center"/>
    </xf>
    <xf numFmtId="0" fontId="2" fillId="0" borderId="1" xfId="2" applyFont="1" applyFill="1" applyBorder="1" applyAlignment="1" applyProtection="1">
      <alignment vertical="center" wrapText="1"/>
    </xf>
    <xf numFmtId="0" fontId="0" fillId="0" borderId="1" xfId="0" applyBorder="1" applyAlignment="1">
      <alignment horizontal="left" vertical="center" wrapText="1"/>
    </xf>
    <xf numFmtId="165" fontId="0" fillId="0" borderId="0" xfId="21" applyFont="1"/>
    <xf numFmtId="9" fontId="0" fillId="0" borderId="0" xfId="0" applyNumberFormat="1"/>
    <xf numFmtId="0" fontId="0" fillId="5" borderId="1" xfId="0" applyFill="1" applyBorder="1" applyAlignment="1">
      <alignment horizontal="center"/>
    </xf>
    <xf numFmtId="2" fontId="2" fillId="5" borderId="1" xfId="1" applyNumberFormat="1" applyFont="1" applyFill="1" applyBorder="1" applyAlignment="1" applyProtection="1">
      <alignment horizontal="center" vertical="center"/>
    </xf>
    <xf numFmtId="2" fontId="3" fillId="5" borderId="1" xfId="1" applyNumberFormat="1" applyFont="1" applyFill="1" applyBorder="1" applyAlignment="1" applyProtection="1">
      <alignment horizontal="center" vertical="center"/>
    </xf>
    <xf numFmtId="168" fontId="3" fillId="5" borderId="3" xfId="3" applyNumberFormat="1" applyFont="1" applyFill="1" applyBorder="1" applyAlignment="1" applyProtection="1">
      <alignment horizontal="center" vertical="center"/>
    </xf>
    <xf numFmtId="0" fontId="0" fillId="5" borderId="0" xfId="0" applyFill="1"/>
    <xf numFmtId="165" fontId="2" fillId="5" borderId="1" xfId="21" applyNumberFormat="1" applyFont="1" applyFill="1" applyBorder="1" applyAlignment="1" applyProtection="1">
      <alignment horizontal="center" vertical="center"/>
    </xf>
    <xf numFmtId="10" fontId="4" fillId="5" borderId="1" xfId="3" applyNumberFormat="1" applyFont="1" applyFill="1" applyBorder="1" applyAlignment="1" applyProtection="1">
      <alignment horizontal="center" vertical="center"/>
    </xf>
    <xf numFmtId="168" fontId="3" fillId="3" borderId="1" xfId="3" applyNumberFormat="1" applyFont="1" applyFill="1" applyBorder="1" applyAlignment="1" applyProtection="1">
      <alignment horizontal="center" vertical="center"/>
    </xf>
    <xf numFmtId="169" fontId="3" fillId="5" borderId="3" xfId="21" applyNumberFormat="1" applyFont="1" applyFill="1" applyBorder="1" applyAlignment="1" applyProtection="1">
      <alignment horizontal="center" vertical="center"/>
    </xf>
    <xf numFmtId="169" fontId="2" fillId="5" borderId="1" xfId="21" applyNumberFormat="1" applyFont="1" applyFill="1" applyBorder="1" applyAlignment="1" applyProtection="1">
      <alignment horizontal="center" vertical="center"/>
    </xf>
    <xf numFmtId="169" fontId="2" fillId="7" borderId="1" xfId="21" applyNumberFormat="1" applyFont="1" applyFill="1" applyBorder="1" applyAlignment="1" applyProtection="1">
      <alignment horizontal="center" vertical="center"/>
    </xf>
    <xf numFmtId="169" fontId="3" fillId="2" borderId="1" xfId="21" applyNumberFormat="1" applyFont="1" applyFill="1" applyBorder="1" applyAlignment="1" applyProtection="1">
      <alignment horizontal="center" vertical="center"/>
    </xf>
    <xf numFmtId="169" fontId="0" fillId="0" borderId="0" xfId="21" applyNumberFormat="1" applyFont="1"/>
    <xf numFmtId="169" fontId="0" fillId="0" borderId="0" xfId="0" applyNumberFormat="1"/>
    <xf numFmtId="169" fontId="2" fillId="2" borderId="1" xfId="21" applyNumberFormat="1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0" fillId="0" borderId="21" xfId="0" applyBorder="1" applyAlignment="1">
      <alignment wrapText="1"/>
    </xf>
    <xf numFmtId="0" fontId="21" fillId="0" borderId="0" xfId="0" applyFont="1" applyAlignment="1">
      <alignment wrapText="1"/>
    </xf>
    <xf numFmtId="0" fontId="22" fillId="0" borderId="21" xfId="0" applyFont="1" applyBorder="1" applyAlignment="1">
      <alignment wrapText="1"/>
    </xf>
    <xf numFmtId="0" fontId="23" fillId="0" borderId="0" xfId="0" applyFont="1"/>
    <xf numFmtId="0" fontId="0" fillId="5" borderId="1" xfId="0" applyFill="1" applyBorder="1" applyAlignment="1">
      <alignment wrapText="1"/>
    </xf>
    <xf numFmtId="0" fontId="0" fillId="5" borderId="21" xfId="0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5" borderId="0" xfId="0" applyFill="1" applyBorder="1"/>
    <xf numFmtId="0" fontId="17" fillId="0" borderId="0" xfId="0" applyFont="1"/>
    <xf numFmtId="10" fontId="0" fillId="0" borderId="1" xfId="3" applyNumberFormat="1" applyFont="1" applyBorder="1" applyAlignment="1">
      <alignment horizontal="center"/>
    </xf>
    <xf numFmtId="165" fontId="0" fillId="0" borderId="1" xfId="21" applyFont="1" applyBorder="1" applyAlignment="1">
      <alignment horizontal="center"/>
    </xf>
    <xf numFmtId="165" fontId="0" fillId="0" borderId="1" xfId="21" applyFont="1" applyBorder="1"/>
    <xf numFmtId="169" fontId="2" fillId="2" borderId="1" xfId="21" applyNumberFormat="1" applyFont="1" applyFill="1" applyBorder="1" applyAlignment="1" applyProtection="1">
      <alignment vertical="center" wrapText="1"/>
    </xf>
    <xf numFmtId="169" fontId="4" fillId="0" borderId="1" xfId="21" applyNumberFormat="1" applyFont="1" applyFill="1" applyBorder="1" applyAlignment="1" applyProtection="1">
      <alignment horizontal="center" vertical="center"/>
    </xf>
    <xf numFmtId="169" fontId="0" fillId="0" borderId="1" xfId="21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9" fontId="2" fillId="6" borderId="1" xfId="21" applyNumberFormat="1" applyFont="1" applyFill="1" applyBorder="1" applyAlignment="1" applyProtection="1">
      <alignment horizontal="center" vertical="center"/>
    </xf>
    <xf numFmtId="9" fontId="7" fillId="4" borderId="1" xfId="3" applyFont="1" applyFill="1" applyBorder="1" applyAlignment="1">
      <alignment horizontal="center" vertical="center"/>
    </xf>
    <xf numFmtId="49" fontId="3" fillId="8" borderId="1" xfId="2" applyNumberFormat="1" applyFont="1" applyFill="1" applyBorder="1" applyAlignment="1" applyProtection="1">
      <alignment horizontal="center" vertical="center"/>
    </xf>
    <xf numFmtId="0" fontId="5" fillId="8" borderId="1" xfId="2" applyFont="1" applyFill="1" applyBorder="1" applyAlignment="1" applyProtection="1">
      <alignment horizontal="left" vertical="center" wrapText="1" indent="1"/>
    </xf>
    <xf numFmtId="0" fontId="5" fillId="8" borderId="1" xfId="2" applyFont="1" applyFill="1" applyBorder="1" applyAlignment="1" applyProtection="1">
      <alignment horizontal="center" vertical="center"/>
    </xf>
    <xf numFmtId="167" fontId="5" fillId="8" borderId="1" xfId="2" applyNumberFormat="1" applyFont="1" applyFill="1" applyBorder="1" applyAlignment="1" applyProtection="1">
      <alignment horizontal="center" vertical="center"/>
    </xf>
    <xf numFmtId="0" fontId="17" fillId="0" borderId="9" xfId="0" applyFont="1" applyBorder="1" applyAlignment="1">
      <alignment wrapText="1"/>
    </xf>
    <xf numFmtId="169" fontId="17" fillId="0" borderId="26" xfId="21" applyNumberFormat="1" applyFont="1" applyBorder="1"/>
    <xf numFmtId="0" fontId="18" fillId="0" borderId="17" xfId="0" applyFont="1" applyBorder="1" applyAlignment="1">
      <alignment wrapText="1"/>
    </xf>
    <xf numFmtId="169" fontId="18" fillId="0" borderId="12" xfId="21" applyNumberFormat="1" applyFont="1" applyBorder="1"/>
    <xf numFmtId="0" fontId="24" fillId="8" borderId="1" xfId="0" applyFont="1" applyFill="1" applyBorder="1"/>
    <xf numFmtId="0" fontId="24" fillId="0" borderId="1" xfId="0" applyFont="1" applyBorder="1"/>
    <xf numFmtId="0" fontId="24" fillId="10" borderId="1" xfId="0" applyFont="1" applyFill="1" applyBorder="1"/>
    <xf numFmtId="169" fontId="24" fillId="8" borderId="1" xfId="21" applyNumberFormat="1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24" fillId="10" borderId="1" xfId="0" applyNumberFormat="1" applyFont="1" applyFill="1" applyBorder="1" applyAlignment="1">
      <alignment horizontal="center"/>
    </xf>
    <xf numFmtId="9" fontId="24" fillId="8" borderId="1" xfId="0" applyNumberFormat="1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24" fillId="10" borderId="1" xfId="0" applyNumberFormat="1" applyFont="1" applyFill="1" applyBorder="1" applyAlignment="1">
      <alignment horizontal="center"/>
    </xf>
    <xf numFmtId="0" fontId="24" fillId="11" borderId="1" xfId="0" applyFont="1" applyFill="1" applyBorder="1"/>
    <xf numFmtId="0" fontId="0" fillId="5" borderId="1" xfId="0" applyFill="1" applyBorder="1" applyAlignment="1">
      <alignment horizontal="left" vertical="center"/>
    </xf>
    <xf numFmtId="169" fontId="0" fillId="5" borderId="1" xfId="21" applyNumberFormat="1" applyFont="1" applyFill="1" applyBorder="1" applyAlignment="1">
      <alignment horizontal="left" vertical="center"/>
    </xf>
    <xf numFmtId="0" fontId="2" fillId="0" borderId="2" xfId="2" applyFont="1" applyFill="1" applyBorder="1" applyAlignment="1" applyProtection="1">
      <alignment horizontal="center" vertical="center" wrapText="1"/>
    </xf>
    <xf numFmtId="10" fontId="0" fillId="5" borderId="1" xfId="0" applyNumberFormat="1" applyFill="1" applyBorder="1" applyAlignment="1">
      <alignment horizontal="center"/>
    </xf>
    <xf numFmtId="0" fontId="25" fillId="5" borderId="1" xfId="0" applyFont="1" applyFill="1" applyBorder="1" applyAlignment="1">
      <alignment horizontal="left" vertical="center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26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24" fillId="12" borderId="1" xfId="0" applyFont="1" applyFill="1" applyBorder="1" applyAlignment="1">
      <alignment wrapText="1"/>
    </xf>
    <xf numFmtId="0" fontId="24" fillId="12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10" fontId="24" fillId="11" borderId="1" xfId="3" applyNumberFormat="1" applyFont="1" applyFill="1" applyBorder="1" applyAlignment="1">
      <alignment horizontal="center"/>
    </xf>
    <xf numFmtId="169" fontId="0" fillId="0" borderId="0" xfId="21" applyNumberFormat="1" applyFont="1" applyAlignment="1">
      <alignment horizontal="center"/>
    </xf>
    <xf numFmtId="10" fontId="0" fillId="5" borderId="1" xfId="3" applyNumberFormat="1" applyFont="1" applyFill="1" applyBorder="1" applyAlignment="1">
      <alignment horizontal="center"/>
    </xf>
    <xf numFmtId="169" fontId="0" fillId="0" borderId="1" xfId="21" applyNumberFormat="1" applyFont="1" applyBorder="1" applyAlignment="1">
      <alignment wrapText="1"/>
    </xf>
    <xf numFmtId="169" fontId="0" fillId="6" borderId="1" xfId="21" applyNumberFormat="1" applyFont="1" applyFill="1" applyBorder="1" applyAlignment="1">
      <alignment horizontal="center"/>
    </xf>
    <xf numFmtId="10" fontId="0" fillId="6" borderId="1" xfId="0" applyNumberFormat="1" applyFill="1" applyBorder="1" applyAlignment="1">
      <alignment horizontal="center"/>
    </xf>
    <xf numFmtId="0" fontId="17" fillId="9" borderId="17" xfId="0" applyFont="1" applyFill="1" applyBorder="1" applyAlignment="1">
      <alignment wrapText="1"/>
    </xf>
    <xf numFmtId="0" fontId="17" fillId="9" borderId="15" xfId="0" applyFont="1" applyFill="1" applyBorder="1"/>
    <xf numFmtId="0" fontId="17" fillId="9" borderId="12" xfId="0" applyFont="1" applyFill="1" applyBorder="1"/>
    <xf numFmtId="169" fontId="17" fillId="0" borderId="16" xfId="0" applyNumberFormat="1" applyFont="1" applyBorder="1"/>
    <xf numFmtId="0" fontId="0" fillId="0" borderId="1" xfId="0" applyFill="1" applyBorder="1"/>
    <xf numFmtId="168" fontId="0" fillId="5" borderId="1" xfId="3" applyNumberFormat="1" applyFont="1" applyFill="1" applyBorder="1" applyAlignment="1">
      <alignment horizontal="center"/>
    </xf>
    <xf numFmtId="169" fontId="17" fillId="13" borderId="1" xfId="21" applyNumberFormat="1" applyFont="1" applyFill="1" applyBorder="1"/>
    <xf numFmtId="169" fontId="17" fillId="13" borderId="1" xfId="0" applyNumberFormat="1" applyFont="1" applyFill="1" applyBorder="1"/>
    <xf numFmtId="169" fontId="24" fillId="0" borderId="1" xfId="21" applyNumberFormat="1" applyFont="1" applyBorder="1" applyAlignment="1">
      <alignment horizontal="center"/>
    </xf>
    <xf numFmtId="0" fontId="17" fillId="13" borderId="7" xfId="0" applyFont="1" applyFill="1" applyBorder="1" applyAlignment="1">
      <alignment wrapText="1"/>
    </xf>
    <xf numFmtId="169" fontId="17" fillId="13" borderId="14" xfId="0" applyNumberFormat="1" applyFont="1" applyFill="1" applyBorder="1"/>
    <xf numFmtId="0" fontId="17" fillId="13" borderId="9" xfId="0" applyFont="1" applyFill="1" applyBorder="1" applyAlignment="1">
      <alignment wrapText="1"/>
    </xf>
    <xf numFmtId="0" fontId="0" fillId="0" borderId="1" xfId="0" applyBorder="1" applyAlignment="1">
      <alignment horizontal="right" wrapText="1"/>
    </xf>
    <xf numFmtId="169" fontId="18" fillId="0" borderId="26" xfId="21" applyNumberFormat="1" applyFont="1" applyBorder="1"/>
    <xf numFmtId="169" fontId="17" fillId="0" borderId="26" xfId="0" applyNumberFormat="1" applyFont="1" applyBorder="1"/>
    <xf numFmtId="0" fontId="27" fillId="0" borderId="10" xfId="0" applyFont="1" applyBorder="1" applyAlignment="1">
      <alignment wrapText="1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3" xfId="2" applyFont="1" applyFill="1" applyBorder="1" applyAlignment="1" applyProtection="1">
      <alignment horizontal="left" vertical="center" wrapText="1" indent="1"/>
    </xf>
    <xf numFmtId="169" fontId="24" fillId="11" borderId="1" xfId="0" applyNumberFormat="1" applyFont="1" applyFill="1" applyBorder="1" applyAlignment="1">
      <alignment horizontal="center"/>
    </xf>
    <xf numFmtId="0" fontId="4" fillId="0" borderId="30" xfId="2" applyFont="1" applyFill="1" applyBorder="1" applyAlignment="1" applyProtection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32" fillId="2" borderId="32" xfId="22" applyFont="1" applyFill="1" applyBorder="1" applyAlignment="1" applyProtection="1">
      <alignment horizontal="left" wrapText="1" indent="2"/>
    </xf>
    <xf numFmtId="0" fontId="31" fillId="2" borderId="33" xfId="22" applyNumberFormat="1" applyFont="1" applyFill="1" applyBorder="1" applyAlignment="1" applyProtection="1">
      <alignment horizontal="left" vertical="center" wrapText="1" indent="1"/>
    </xf>
    <xf numFmtId="0" fontId="32" fillId="2" borderId="33" xfId="22" applyNumberFormat="1" applyFont="1" applyFill="1" applyBorder="1" applyAlignment="1" applyProtection="1">
      <alignment horizontal="left" wrapText="1" indent="1"/>
    </xf>
    <xf numFmtId="0" fontId="32" fillId="2" borderId="33" xfId="22" applyFont="1" applyFill="1" applyBorder="1" applyAlignment="1" applyProtection="1">
      <alignment horizontal="left" wrapText="1" indent="2"/>
    </xf>
    <xf numFmtId="0" fontId="32" fillId="2" borderId="33" xfId="0" applyNumberFormat="1" applyFont="1" applyFill="1" applyBorder="1" applyAlignment="1" applyProtection="1">
      <alignment horizontal="left" vertical="center" indent="2"/>
      <protection locked="0"/>
    </xf>
    <xf numFmtId="0" fontId="32" fillId="0" borderId="1" xfId="0" applyNumberFormat="1" applyFont="1" applyBorder="1" applyAlignment="1" applyProtection="1">
      <alignment horizontal="center" vertical="center" wrapText="1"/>
    </xf>
    <xf numFmtId="165" fontId="0" fillId="0" borderId="1" xfId="0" applyNumberFormat="1" applyBorder="1" applyAlignment="1">
      <alignment horizontal="center"/>
    </xf>
    <xf numFmtId="165" fontId="2" fillId="5" borderId="1" xfId="21" applyFont="1" applyFill="1" applyBorder="1" applyAlignment="1" applyProtection="1">
      <alignment horizontal="center" vertical="center"/>
    </xf>
    <xf numFmtId="0" fontId="2" fillId="8" borderId="30" xfId="1" applyFont="1" applyFill="1" applyBorder="1" applyAlignment="1" applyProtection="1">
      <alignment horizontal="left" wrapText="1" indent="2"/>
    </xf>
    <xf numFmtId="0" fontId="2" fillId="8" borderId="1" xfId="2" applyFont="1" applyFill="1" applyBorder="1" applyAlignment="1" applyProtection="1">
      <alignment horizontal="center" vertical="center"/>
    </xf>
    <xf numFmtId="0" fontId="2" fillId="8" borderId="1" xfId="1" applyFont="1" applyFill="1" applyBorder="1" applyAlignment="1" applyProtection="1">
      <alignment horizontal="center" vertical="center"/>
    </xf>
    <xf numFmtId="0" fontId="2" fillId="8" borderId="30" xfId="2" applyNumberFormat="1" applyFont="1" applyFill="1" applyBorder="1" applyAlignment="1" applyProtection="1">
      <alignment horizontal="left" vertical="center" wrapText="1" indent="4"/>
    </xf>
    <xf numFmtId="0" fontId="32" fillId="8" borderId="1" xfId="0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left" vertical="center" indent="2"/>
    </xf>
    <xf numFmtId="0" fontId="2" fillId="2" borderId="11" xfId="1" applyFont="1" applyFill="1" applyBorder="1" applyAlignment="1" applyProtection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169" fontId="0" fillId="0" borderId="0" xfId="21" applyNumberFormat="1" applyFont="1" applyBorder="1" applyAlignment="1">
      <alignment horizontal="center"/>
    </xf>
    <xf numFmtId="169" fontId="0" fillId="0" borderId="0" xfId="21" applyNumberFormat="1" applyFont="1" applyBorder="1"/>
    <xf numFmtId="10" fontId="0" fillId="0" borderId="0" xfId="0" applyNumberFormat="1" applyBorder="1" applyAlignment="1">
      <alignment horizontal="center"/>
    </xf>
    <xf numFmtId="165" fontId="0" fillId="0" borderId="0" xfId="21" applyFont="1" applyBorder="1" applyAlignment="1">
      <alignment horizontal="center"/>
    </xf>
    <xf numFmtId="165" fontId="0" fillId="0" borderId="0" xfId="21" applyFont="1" applyBorder="1"/>
    <xf numFmtId="10" fontId="0" fillId="0" borderId="0" xfId="3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2" fillId="5" borderId="0" xfId="21" applyNumberFormat="1" applyFont="1" applyFill="1" applyBorder="1" applyAlignment="1" applyProtection="1">
      <alignment horizontal="center" vertical="center"/>
    </xf>
    <xf numFmtId="166" fontId="0" fillId="0" borderId="0" xfId="0" applyNumberFormat="1"/>
    <xf numFmtId="0" fontId="24" fillId="8" borderId="9" xfId="0" applyFont="1" applyFill="1" applyBorder="1"/>
    <xf numFmtId="0" fontId="24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24" fillId="15" borderId="9" xfId="0" applyFont="1" applyFill="1" applyBorder="1" applyAlignment="1">
      <alignment wrapText="1"/>
    </xf>
    <xf numFmtId="0" fontId="24" fillId="0" borderId="0" xfId="0" applyFont="1"/>
    <xf numFmtId="0" fontId="24" fillId="16" borderId="9" xfId="0" applyFont="1" applyFill="1" applyBorder="1" applyAlignment="1">
      <alignment wrapText="1"/>
    </xf>
    <xf numFmtId="0" fontId="24" fillId="5" borderId="9" xfId="0" applyFont="1" applyFill="1" applyBorder="1" applyAlignment="1">
      <alignment wrapText="1"/>
    </xf>
    <xf numFmtId="0" fontId="24" fillId="6" borderId="9" xfId="0" applyFont="1" applyFill="1" applyBorder="1" applyAlignment="1">
      <alignment wrapText="1"/>
    </xf>
    <xf numFmtId="0" fontId="0" fillId="0" borderId="10" xfId="0" applyFill="1" applyBorder="1"/>
    <xf numFmtId="0" fontId="24" fillId="0" borderId="7" xfId="0" applyFont="1" applyBorder="1" applyAlignment="1">
      <alignment wrapText="1"/>
    </xf>
    <xf numFmtId="0" fontId="24" fillId="0" borderId="10" xfId="0" applyFont="1" applyBorder="1" applyAlignment="1">
      <alignment wrapText="1"/>
    </xf>
    <xf numFmtId="0" fontId="24" fillId="6" borderId="1" xfId="0" applyFont="1" applyFill="1" applyBorder="1"/>
    <xf numFmtId="0" fontId="24" fillId="5" borderId="0" xfId="0" applyFont="1" applyFill="1" applyBorder="1"/>
    <xf numFmtId="10" fontId="24" fillId="5" borderId="0" xfId="3" applyNumberFormat="1" applyFont="1" applyFill="1" applyBorder="1" applyAlignment="1">
      <alignment horizontal="center"/>
    </xf>
    <xf numFmtId="168" fontId="0" fillId="5" borderId="0" xfId="3" applyNumberFormat="1" applyFont="1" applyFill="1" applyBorder="1" applyAlignment="1">
      <alignment horizontal="center"/>
    </xf>
    <xf numFmtId="0" fontId="24" fillId="16" borderId="34" xfId="0" applyFont="1" applyFill="1" applyBorder="1"/>
    <xf numFmtId="169" fontId="24" fillId="16" borderId="35" xfId="21" applyNumberFormat="1" applyFont="1" applyFill="1" applyBorder="1"/>
    <xf numFmtId="0" fontId="20" fillId="5" borderId="2" xfId="0" applyFont="1" applyFill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0" fillId="0" borderId="0" xfId="0" applyBorder="1" applyAlignment="1">
      <alignment shrinkToFit="1"/>
    </xf>
    <xf numFmtId="4" fontId="28" fillId="0" borderId="1" xfId="0" applyNumberFormat="1" applyFont="1" applyBorder="1" applyAlignment="1">
      <alignment horizontal="center" shrinkToFit="1"/>
    </xf>
    <xf numFmtId="165" fontId="28" fillId="0" borderId="1" xfId="21" applyFont="1" applyBorder="1" applyAlignment="1">
      <alignment horizontal="center" shrinkToFit="1"/>
    </xf>
    <xf numFmtId="0" fontId="0" fillId="0" borderId="0" xfId="0" applyAlignment="1">
      <alignment shrinkToFit="1"/>
    </xf>
    <xf numFmtId="4" fontId="29" fillId="0" borderId="1" xfId="0" applyNumberFormat="1" applyFont="1" applyBorder="1" applyAlignment="1">
      <alignment horizontal="center" shrinkToFit="1"/>
    </xf>
    <xf numFmtId="165" fontId="29" fillId="0" borderId="1" xfId="21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165" fontId="0" fillId="0" borderId="1" xfId="21" applyFont="1" applyBorder="1" applyAlignment="1">
      <alignment horizontal="center" shrinkToFit="1"/>
    </xf>
    <xf numFmtId="168" fontId="0" fillId="0" borderId="1" xfId="3" applyNumberFormat="1" applyFont="1" applyBorder="1" applyAlignment="1">
      <alignment horizontal="center" shrinkToFit="1"/>
    </xf>
    <xf numFmtId="4" fontId="28" fillId="0" borderId="1" xfId="0" applyNumberFormat="1" applyFont="1" applyFill="1" applyBorder="1" applyAlignment="1">
      <alignment horizontal="center" shrinkToFit="1"/>
    </xf>
    <xf numFmtId="10" fontId="28" fillId="0" borderId="1" xfId="3" applyNumberFormat="1" applyFont="1" applyFill="1" applyBorder="1" applyAlignment="1">
      <alignment horizontal="center" shrinkToFit="1"/>
    </xf>
    <xf numFmtId="0" fontId="20" fillId="5" borderId="1" xfId="0" applyFont="1" applyFill="1" applyBorder="1" applyAlignment="1">
      <alignment horizontal="center" shrinkToFit="1"/>
    </xf>
    <xf numFmtId="165" fontId="0" fillId="0" borderId="1" xfId="0" applyNumberFormat="1" applyBorder="1" applyAlignment="1">
      <alignment horizontal="center" shrinkToFit="1"/>
    </xf>
    <xf numFmtId="167" fontId="3" fillId="5" borderId="3" xfId="1" applyNumberFormat="1" applyFont="1" applyFill="1" applyBorder="1" applyAlignment="1" applyProtection="1">
      <alignment horizontal="center" vertical="center" shrinkToFit="1"/>
    </xf>
    <xf numFmtId="1" fontId="3" fillId="5" borderId="3" xfId="1" applyNumberFormat="1" applyFont="1" applyFill="1" applyBorder="1" applyAlignment="1" applyProtection="1">
      <alignment horizontal="center" vertical="center" shrinkToFit="1"/>
    </xf>
    <xf numFmtId="171" fontId="3" fillId="5" borderId="3" xfId="21" applyNumberFormat="1" applyFont="1" applyFill="1" applyBorder="1" applyAlignment="1" applyProtection="1">
      <alignment horizontal="center" vertical="center" shrinkToFit="1"/>
    </xf>
    <xf numFmtId="172" fontId="0" fillId="0" borderId="0" xfId="0" applyNumberFormat="1" applyAlignment="1">
      <alignment horizontal="center" shrinkToFit="1"/>
    </xf>
    <xf numFmtId="168" fontId="3" fillId="5" borderId="3" xfId="3" applyNumberFormat="1" applyFont="1" applyFill="1" applyBorder="1" applyAlignment="1" applyProtection="1">
      <alignment horizontal="center" vertical="center" shrinkToFit="1"/>
    </xf>
    <xf numFmtId="169" fontId="0" fillId="0" borderId="1" xfId="21" applyNumberFormat="1" applyFont="1" applyBorder="1" applyAlignment="1">
      <alignment horizontal="center" shrinkToFit="1"/>
    </xf>
    <xf numFmtId="1" fontId="2" fillId="5" borderId="1" xfId="2" applyNumberFormat="1" applyFont="1" applyFill="1" applyBorder="1" applyAlignment="1" applyProtection="1">
      <alignment horizontal="center" vertical="center" shrinkToFit="1"/>
    </xf>
    <xf numFmtId="169" fontId="2" fillId="5" borderId="1" xfId="21" applyNumberFormat="1" applyFont="1" applyFill="1" applyBorder="1" applyAlignment="1" applyProtection="1">
      <alignment horizontal="center" vertical="center" shrinkToFit="1"/>
    </xf>
    <xf numFmtId="0" fontId="20" fillId="14" borderId="0" xfId="0" applyFont="1" applyFill="1" applyAlignment="1">
      <alignment horizontal="center" shrinkToFit="1"/>
    </xf>
    <xf numFmtId="1" fontId="2" fillId="14" borderId="1" xfId="1" applyNumberFormat="1" applyFont="1" applyFill="1" applyBorder="1" applyAlignment="1" applyProtection="1">
      <alignment horizontal="center" vertical="center" shrinkToFit="1"/>
    </xf>
    <xf numFmtId="1" fontId="0" fillId="14" borderId="1" xfId="0" applyNumberFormat="1" applyFill="1" applyBorder="1" applyAlignment="1">
      <alignment horizontal="center" shrinkToFit="1"/>
    </xf>
    <xf numFmtId="169" fontId="0" fillId="14" borderId="1" xfId="21" applyNumberFormat="1" applyFont="1" applyFill="1" applyBorder="1" applyAlignment="1">
      <alignment horizontal="center" shrinkToFit="1"/>
    </xf>
    <xf numFmtId="10" fontId="2" fillId="5" borderId="1" xfId="1" applyNumberFormat="1" applyFont="1" applyFill="1" applyBorder="1" applyAlignment="1" applyProtection="1">
      <alignment horizontal="center" vertical="center" shrinkToFit="1"/>
    </xf>
    <xf numFmtId="168" fontId="7" fillId="5" borderId="1" xfId="4" applyNumberFormat="1" applyFont="1" applyFill="1" applyBorder="1" applyAlignment="1">
      <alignment horizontal="center" vertical="center" shrinkToFit="1"/>
    </xf>
    <xf numFmtId="10" fontId="2" fillId="8" borderId="1" xfId="1" applyNumberFormat="1" applyFont="1" applyFill="1" applyBorder="1" applyAlignment="1" applyProtection="1">
      <alignment horizontal="center" vertical="center" shrinkToFit="1"/>
    </xf>
    <xf numFmtId="0" fontId="0" fillId="8" borderId="1" xfId="0" applyFill="1" applyBorder="1" applyAlignment="1">
      <alignment horizontal="center" shrinkToFit="1"/>
    </xf>
    <xf numFmtId="165" fontId="0" fillId="8" borderId="1" xfId="21" applyNumberFormat="1" applyFont="1" applyFill="1" applyBorder="1" applyAlignment="1">
      <alignment horizontal="center" shrinkToFit="1"/>
    </xf>
    <xf numFmtId="170" fontId="0" fillId="0" borderId="1" xfId="21" applyNumberFormat="1" applyFont="1" applyBorder="1" applyAlignment="1">
      <alignment horizontal="center" shrinkToFit="1"/>
    </xf>
    <xf numFmtId="169" fontId="0" fillId="8" borderId="1" xfId="21" applyNumberFormat="1" applyFont="1" applyFill="1" applyBorder="1" applyAlignment="1">
      <alignment horizontal="center" shrinkToFit="1"/>
    </xf>
    <xf numFmtId="171" fontId="0" fillId="8" borderId="1" xfId="21" applyNumberFormat="1" applyFont="1" applyFill="1" applyBorder="1" applyAlignment="1">
      <alignment horizontal="center" shrinkToFit="1"/>
    </xf>
    <xf numFmtId="1" fontId="2" fillId="8" borderId="1" xfId="1" applyNumberFormat="1" applyFont="1" applyFill="1" applyBorder="1" applyAlignment="1" applyProtection="1">
      <alignment horizontal="center" vertical="center" shrinkToFit="1"/>
    </xf>
    <xf numFmtId="165" fontId="2" fillId="8" borderId="1" xfId="21" applyFont="1" applyFill="1" applyBorder="1" applyAlignment="1" applyProtection="1">
      <alignment horizontal="center" vertical="center" shrinkToFit="1"/>
    </xf>
    <xf numFmtId="2" fontId="2" fillId="5" borderId="1" xfId="1" applyNumberFormat="1" applyFont="1" applyFill="1" applyBorder="1" applyAlignment="1" applyProtection="1">
      <alignment horizontal="center" vertical="center" shrinkToFit="1"/>
    </xf>
    <xf numFmtId="2" fontId="2" fillId="5" borderId="1" xfId="1" applyNumberFormat="1" applyFont="1" applyFill="1" applyBorder="1" applyAlignment="1">
      <alignment horizontal="center" vertical="center" shrinkToFit="1"/>
    </xf>
    <xf numFmtId="165" fontId="2" fillId="5" borderId="1" xfId="21" applyFont="1" applyFill="1" applyBorder="1" applyAlignment="1" applyProtection="1">
      <alignment horizontal="center" vertical="center" shrinkToFit="1"/>
    </xf>
    <xf numFmtId="2" fontId="2" fillId="8" borderId="1" xfId="1" applyNumberFormat="1" applyFont="1" applyFill="1" applyBorder="1" applyAlignment="1" applyProtection="1">
      <alignment horizontal="center" vertical="center" shrinkToFit="1"/>
    </xf>
    <xf numFmtId="1" fontId="2" fillId="5" borderId="1" xfId="1" applyNumberFormat="1" applyFont="1" applyFill="1" applyBorder="1" applyAlignment="1" applyProtection="1">
      <alignment horizontal="center" vertical="center" shrinkToFit="1"/>
    </xf>
    <xf numFmtId="9" fontId="7" fillId="5" borderId="1" xfId="3" applyFont="1" applyFill="1" applyBorder="1" applyAlignment="1">
      <alignment horizontal="center" vertical="center" shrinkToFit="1"/>
    </xf>
    <xf numFmtId="2" fontId="3" fillId="5" borderId="3" xfId="1" applyNumberFormat="1" applyFont="1" applyFill="1" applyBorder="1" applyAlignment="1" applyProtection="1">
      <alignment horizontal="center" vertical="center" shrinkToFit="1"/>
    </xf>
    <xf numFmtId="2" fontId="3" fillId="5" borderId="1" xfId="1" applyNumberFormat="1" applyFont="1" applyFill="1" applyBorder="1" applyAlignment="1" applyProtection="1">
      <alignment horizontal="center" vertical="center" shrinkToFit="1"/>
    </xf>
    <xf numFmtId="2" fontId="0" fillId="0" borderId="1" xfId="0" applyNumberFormat="1" applyBorder="1" applyAlignment="1">
      <alignment horizontal="center" shrinkToFit="1"/>
    </xf>
    <xf numFmtId="168" fontId="3" fillId="5" borderId="1" xfId="3" applyNumberFormat="1" applyFont="1" applyFill="1" applyBorder="1" applyAlignment="1" applyProtection="1">
      <alignment horizontal="center" vertical="center" shrinkToFit="1"/>
    </xf>
    <xf numFmtId="0" fontId="0" fillId="0" borderId="30" xfId="0" applyBorder="1" applyAlignment="1">
      <alignment horizontal="center" shrinkToFit="1"/>
    </xf>
    <xf numFmtId="169" fontId="20" fillId="5" borderId="1" xfId="21" applyNumberFormat="1" applyFont="1" applyFill="1" applyBorder="1" applyAlignment="1">
      <alignment horizontal="center" shrinkToFit="1"/>
    </xf>
    <xf numFmtId="169" fontId="0" fillId="0" borderId="30" xfId="21" applyNumberFormat="1" applyFont="1" applyBorder="1" applyAlignment="1">
      <alignment horizontal="center" shrinkToFit="1"/>
    </xf>
    <xf numFmtId="10" fontId="0" fillId="0" borderId="1" xfId="3" applyNumberFormat="1" applyFont="1" applyBorder="1" applyAlignment="1">
      <alignment horizontal="center" shrinkToFit="1"/>
    </xf>
    <xf numFmtId="10" fontId="0" fillId="0" borderId="1" xfId="0" applyNumberFormat="1" applyBorder="1" applyAlignment="1">
      <alignment horizontal="center" shrinkToFit="1"/>
    </xf>
    <xf numFmtId="10" fontId="0" fillId="0" borderId="30" xfId="0" applyNumberFormat="1" applyBorder="1" applyAlignment="1">
      <alignment horizontal="center" shrinkToFit="1"/>
    </xf>
    <xf numFmtId="165" fontId="20" fillId="5" borderId="1" xfId="21" applyFont="1" applyFill="1" applyBorder="1" applyAlignment="1">
      <alignment horizontal="center" shrinkToFit="1"/>
    </xf>
    <xf numFmtId="165" fontId="0" fillId="0" borderId="30" xfId="21" applyFont="1" applyBorder="1" applyAlignment="1">
      <alignment horizontal="center" shrinkToFit="1"/>
    </xf>
    <xf numFmtId="10" fontId="0" fillId="0" borderId="30" xfId="3" applyNumberFormat="1" applyFont="1" applyBorder="1" applyAlignment="1">
      <alignment horizontal="center" shrinkToFit="1"/>
    </xf>
    <xf numFmtId="0" fontId="0" fillId="0" borderId="1" xfId="0" applyBorder="1" applyAlignment="1">
      <alignment shrinkToFit="1"/>
    </xf>
    <xf numFmtId="165" fontId="2" fillId="5" borderId="1" xfId="21" applyNumberFormat="1" applyFont="1" applyFill="1" applyBorder="1" applyAlignment="1" applyProtection="1">
      <alignment horizontal="center" vertical="center" shrinkToFit="1"/>
    </xf>
    <xf numFmtId="169" fontId="0" fillId="6" borderId="1" xfId="21" applyNumberFormat="1" applyFont="1" applyFill="1" applyBorder="1" applyAlignment="1">
      <alignment horizontal="center" shrinkToFit="1"/>
    </xf>
    <xf numFmtId="169" fontId="0" fillId="0" borderId="0" xfId="21" applyNumberFormat="1" applyFont="1" applyBorder="1" applyAlignment="1">
      <alignment shrinkToFit="1"/>
    </xf>
    <xf numFmtId="10" fontId="0" fillId="6" borderId="1" xfId="0" applyNumberFormat="1" applyFill="1" applyBorder="1" applyAlignment="1">
      <alignment horizontal="center" shrinkToFit="1"/>
    </xf>
    <xf numFmtId="9" fontId="0" fillId="0" borderId="0" xfId="0" applyNumberFormat="1" applyBorder="1" applyAlignment="1">
      <alignment shrinkToFit="1"/>
    </xf>
    <xf numFmtId="168" fontId="0" fillId="5" borderId="1" xfId="3" applyNumberFormat="1" applyFont="1" applyFill="1" applyBorder="1" applyAlignment="1">
      <alignment horizontal="center" shrinkToFit="1"/>
    </xf>
    <xf numFmtId="168" fontId="0" fillId="5" borderId="0" xfId="3" applyNumberFormat="1" applyFont="1" applyFill="1" applyBorder="1" applyAlignment="1">
      <alignment horizontal="center" shrinkToFit="1"/>
    </xf>
    <xf numFmtId="0" fontId="2" fillId="0" borderId="1" xfId="2" applyFont="1" applyFill="1" applyBorder="1" applyAlignment="1" applyProtection="1">
      <alignment horizontal="center" vertical="center" shrinkToFit="1"/>
    </xf>
    <xf numFmtId="169" fontId="24" fillId="8" borderId="1" xfId="21" applyNumberFormat="1" applyFont="1" applyFill="1" applyBorder="1" applyAlignment="1">
      <alignment horizontal="center" shrinkToFit="1"/>
    </xf>
    <xf numFmtId="169" fontId="0" fillId="0" borderId="1" xfId="0" applyNumberFormat="1" applyBorder="1" applyAlignment="1">
      <alignment horizontal="center" shrinkToFit="1"/>
    </xf>
    <xf numFmtId="169" fontId="24" fillId="10" borderId="1" xfId="0" applyNumberFormat="1" applyFont="1" applyFill="1" applyBorder="1" applyAlignment="1">
      <alignment horizontal="center" shrinkToFit="1"/>
    </xf>
    <xf numFmtId="9" fontId="24" fillId="8" borderId="1" xfId="0" applyNumberFormat="1" applyFont="1" applyFill="1" applyBorder="1" applyAlignment="1">
      <alignment horizontal="center" shrinkToFit="1"/>
    </xf>
    <xf numFmtId="9" fontId="0" fillId="0" borderId="1" xfId="0" applyNumberFormat="1" applyBorder="1" applyAlignment="1">
      <alignment horizontal="center" shrinkToFit="1"/>
    </xf>
    <xf numFmtId="169" fontId="0" fillId="0" borderId="0" xfId="0" applyNumberFormat="1" applyAlignment="1">
      <alignment shrinkToFit="1"/>
    </xf>
    <xf numFmtId="9" fontId="24" fillId="10" borderId="1" xfId="0" applyNumberFormat="1" applyFont="1" applyFill="1" applyBorder="1" applyAlignment="1">
      <alignment horizontal="center" shrinkToFit="1"/>
    </xf>
    <xf numFmtId="0" fontId="24" fillId="12" borderId="1" xfId="0" applyFont="1" applyFill="1" applyBorder="1" applyAlignment="1">
      <alignment horizontal="center" shrinkToFit="1"/>
    </xf>
    <xf numFmtId="169" fontId="24" fillId="11" borderId="1" xfId="21" applyNumberFormat="1" applyFont="1" applyFill="1" applyBorder="1" applyAlignment="1">
      <alignment horizontal="center" shrinkToFit="1"/>
    </xf>
    <xf numFmtId="169" fontId="0" fillId="0" borderId="0" xfId="21" applyNumberFormat="1" applyFont="1" applyAlignment="1">
      <alignment shrinkToFit="1"/>
    </xf>
    <xf numFmtId="9" fontId="0" fillId="0" borderId="1" xfId="0" applyNumberFormat="1" applyBorder="1" applyAlignment="1">
      <alignment shrinkToFit="1"/>
    </xf>
    <xf numFmtId="168" fontId="0" fillId="0" borderId="1" xfId="0" applyNumberFormat="1" applyBorder="1" applyAlignment="1">
      <alignment horizontal="center" shrinkToFit="1"/>
    </xf>
    <xf numFmtId="10" fontId="24" fillId="0" borderId="1" xfId="0" applyNumberFormat="1" applyFont="1" applyBorder="1" applyAlignment="1">
      <alignment horizontal="center" shrinkToFit="1"/>
    </xf>
    <xf numFmtId="10" fontId="24" fillId="11" borderId="1" xfId="3" applyNumberFormat="1" applyFont="1" applyFill="1" applyBorder="1" applyAlignment="1">
      <alignment horizontal="center" shrinkToFit="1"/>
    </xf>
    <xf numFmtId="10" fontId="24" fillId="5" borderId="0" xfId="3" applyNumberFormat="1" applyFont="1" applyFill="1" applyBorder="1" applyAlignment="1">
      <alignment horizontal="center" shrinkToFit="1"/>
    </xf>
    <xf numFmtId="0" fontId="0" fillId="5" borderId="0" xfId="0" applyFill="1" applyAlignment="1">
      <alignment shrinkToFit="1"/>
    </xf>
    <xf numFmtId="0" fontId="0" fillId="5" borderId="0" xfId="0" applyFill="1" applyBorder="1" applyAlignment="1">
      <alignment shrinkToFit="1"/>
    </xf>
    <xf numFmtId="0" fontId="20" fillId="5" borderId="0" xfId="0" applyFont="1" applyFill="1" applyAlignment="1">
      <alignment horizontal="center" shrinkToFit="1"/>
    </xf>
    <xf numFmtId="0" fontId="17" fillId="5" borderId="1" xfId="2" applyFont="1" applyFill="1" applyBorder="1" applyAlignment="1" applyProtection="1">
      <alignment horizontal="center" vertical="center" shrinkToFit="1"/>
    </xf>
    <xf numFmtId="1" fontId="17" fillId="5" borderId="1" xfId="2" applyNumberFormat="1" applyFont="1" applyFill="1" applyBorder="1" applyAlignment="1" applyProtection="1">
      <alignment horizontal="center" vertical="center" shrinkToFit="1"/>
    </xf>
    <xf numFmtId="1" fontId="4" fillId="0" borderId="1" xfId="2" applyNumberFormat="1" applyFont="1" applyFill="1" applyBorder="1" applyAlignment="1" applyProtection="1">
      <alignment horizontal="center" vertical="center" shrinkToFit="1"/>
    </xf>
    <xf numFmtId="169" fontId="4" fillId="5" borderId="1" xfId="21" applyNumberFormat="1" applyFont="1" applyFill="1" applyBorder="1" applyAlignment="1" applyProtection="1">
      <alignment horizontal="center" vertical="center" shrinkToFit="1"/>
    </xf>
    <xf numFmtId="165" fontId="4" fillId="5" borderId="1" xfId="21" applyFont="1" applyFill="1" applyBorder="1" applyAlignment="1" applyProtection="1">
      <alignment horizontal="center" vertical="center" shrinkToFit="1"/>
    </xf>
    <xf numFmtId="10" fontId="4" fillId="5" borderId="1" xfId="3" applyNumberFormat="1" applyFont="1" applyFill="1" applyBorder="1" applyAlignment="1" applyProtection="1">
      <alignment horizontal="center" vertical="center" shrinkToFit="1"/>
    </xf>
    <xf numFmtId="10" fontId="17" fillId="5" borderId="1" xfId="3" applyNumberFormat="1" applyFont="1" applyFill="1" applyBorder="1" applyAlignment="1" applyProtection="1">
      <alignment horizontal="center" vertical="center" shrinkToFit="1"/>
    </xf>
    <xf numFmtId="169" fontId="18" fillId="5" borderId="1" xfId="21" applyNumberFormat="1" applyFont="1" applyFill="1" applyBorder="1" applyAlignment="1" applyProtection="1">
      <alignment horizontal="center" vertical="center" shrinkToFit="1"/>
    </xf>
    <xf numFmtId="169" fontId="5" fillId="8" borderId="1" xfId="21" applyNumberFormat="1" applyFont="1" applyFill="1" applyBorder="1" applyAlignment="1" applyProtection="1">
      <alignment horizontal="center" vertical="center" shrinkToFit="1"/>
    </xf>
    <xf numFmtId="173" fontId="18" fillId="5" borderId="3" xfId="21" applyNumberFormat="1" applyFont="1" applyFill="1" applyBorder="1" applyAlignment="1" applyProtection="1">
      <alignment horizontal="center" vertical="center" shrinkToFit="1"/>
    </xf>
    <xf numFmtId="169" fontId="3" fillId="5" borderId="3" xfId="21" applyNumberFormat="1" applyFont="1" applyFill="1" applyBorder="1" applyAlignment="1" applyProtection="1">
      <alignment horizontal="center" vertical="center" shrinkToFit="1"/>
    </xf>
    <xf numFmtId="1" fontId="18" fillId="5" borderId="3" xfId="1" applyNumberFormat="1" applyFont="1" applyFill="1" applyBorder="1" applyAlignment="1" applyProtection="1">
      <alignment horizontal="center" vertical="center" shrinkToFit="1"/>
    </xf>
    <xf numFmtId="9" fontId="3" fillId="5" borderId="3" xfId="3" applyNumberFormat="1" applyFont="1" applyFill="1" applyBorder="1" applyAlignment="1" applyProtection="1">
      <alignment horizontal="center" vertical="center" shrinkToFit="1"/>
    </xf>
    <xf numFmtId="2" fontId="17" fillId="5" borderId="1" xfId="21" applyNumberFormat="1" applyFont="1" applyFill="1" applyBorder="1" applyAlignment="1" applyProtection="1">
      <alignment horizontal="center" vertical="center" shrinkToFit="1"/>
    </xf>
    <xf numFmtId="2" fontId="17" fillId="5" borderId="1" xfId="1" applyNumberFormat="1" applyFont="1" applyFill="1" applyBorder="1" applyAlignment="1" applyProtection="1">
      <alignment horizontal="center" vertical="center" shrinkToFit="1"/>
    </xf>
    <xf numFmtId="168" fontId="2" fillId="5" borderId="1" xfId="3" applyNumberFormat="1" applyFont="1" applyFill="1" applyBorder="1" applyAlignment="1" applyProtection="1">
      <alignment horizontal="center" vertical="center" shrinkToFit="1"/>
    </xf>
    <xf numFmtId="168" fontId="2" fillId="5" borderId="1" xfId="1" applyNumberFormat="1" applyFont="1" applyFill="1" applyBorder="1" applyAlignment="1" applyProtection="1">
      <alignment horizontal="center" vertical="center" shrinkToFit="1"/>
    </xf>
    <xf numFmtId="9" fontId="2" fillId="5" borderId="1" xfId="1" applyNumberFormat="1" applyFont="1" applyFill="1" applyBorder="1" applyAlignment="1" applyProtection="1">
      <alignment horizontal="center" vertical="center" shrinkToFit="1"/>
    </xf>
    <xf numFmtId="170" fontId="2" fillId="5" borderId="1" xfId="21" applyNumberFormat="1" applyFont="1" applyFill="1" applyBorder="1" applyAlignment="1" applyProtection="1">
      <alignment horizontal="center" vertical="center" shrinkToFit="1"/>
    </xf>
    <xf numFmtId="169" fontId="2" fillId="2" borderId="1" xfId="21" applyNumberFormat="1" applyFont="1" applyFill="1" applyBorder="1" applyAlignment="1" applyProtection="1">
      <alignment horizontal="center" vertical="center" shrinkToFit="1"/>
    </xf>
    <xf numFmtId="10" fontId="7" fillId="5" borderId="1" xfId="3" applyNumberFormat="1" applyFont="1" applyFill="1" applyBorder="1" applyAlignment="1">
      <alignment horizontal="center" vertical="center" shrinkToFit="1"/>
    </xf>
    <xf numFmtId="1" fontId="2" fillId="2" borderId="1" xfId="1" applyNumberFormat="1" applyFont="1" applyFill="1" applyBorder="1" applyAlignment="1" applyProtection="1">
      <alignment horizontal="center" vertical="center" shrinkToFit="1"/>
    </xf>
    <xf numFmtId="2" fontId="18" fillId="5" borderId="3" xfId="1" applyNumberFormat="1" applyFont="1" applyFill="1" applyBorder="1" applyAlignment="1" applyProtection="1">
      <alignment horizontal="center" vertical="center" shrinkToFit="1"/>
    </xf>
    <xf numFmtId="2" fontId="3" fillId="2" borderId="1" xfId="1" applyNumberFormat="1" applyFont="1" applyFill="1" applyBorder="1" applyAlignment="1" applyProtection="1">
      <alignment horizontal="center" vertical="center" shrinkToFit="1"/>
    </xf>
    <xf numFmtId="2" fontId="18" fillId="5" borderId="1" xfId="1" applyNumberFormat="1" applyFont="1" applyFill="1" applyBorder="1" applyAlignment="1" applyProtection="1">
      <alignment horizontal="center" vertical="center" shrinkToFit="1"/>
    </xf>
    <xf numFmtId="10" fontId="18" fillId="5" borderId="1" xfId="3" applyNumberFormat="1" applyFont="1" applyFill="1" applyBorder="1" applyAlignment="1" applyProtection="1">
      <alignment horizontal="center" vertical="center" shrinkToFit="1"/>
    </xf>
    <xf numFmtId="168" fontId="3" fillId="11" borderId="1" xfId="3" applyNumberFormat="1" applyFont="1" applyFill="1" applyBorder="1" applyAlignment="1" applyProtection="1">
      <alignment horizontal="center" vertical="center" shrinkToFit="1"/>
    </xf>
    <xf numFmtId="2" fontId="18" fillId="5" borderId="1" xfId="3" applyNumberFormat="1" applyFont="1" applyFill="1" applyBorder="1" applyAlignment="1" applyProtection="1">
      <alignment horizontal="center" vertical="center" shrinkToFit="1"/>
    </xf>
    <xf numFmtId="168" fontId="3" fillId="10" borderId="1" xfId="3" applyNumberFormat="1" applyFont="1" applyFill="1" applyBorder="1" applyAlignment="1" applyProtection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69" fontId="3" fillId="2" borderId="1" xfId="21" applyNumberFormat="1" applyFont="1" applyFill="1" applyBorder="1" applyAlignment="1" applyProtection="1">
      <alignment horizontal="center" vertical="center" shrinkToFit="1"/>
    </xf>
    <xf numFmtId="0" fontId="0" fillId="0" borderId="8" xfId="0" applyBorder="1" applyAlignment="1">
      <alignment shrinkToFit="1"/>
    </xf>
    <xf numFmtId="0" fontId="0" fillId="0" borderId="14" xfId="0" applyBorder="1" applyAlignment="1">
      <alignment shrinkToFit="1"/>
    </xf>
    <xf numFmtId="0" fontId="0" fillId="0" borderId="4" xfId="0" applyBorder="1" applyAlignment="1">
      <alignment shrinkToFit="1"/>
    </xf>
    <xf numFmtId="0" fontId="18" fillId="0" borderId="1" xfId="0" applyFont="1" applyBorder="1" applyAlignment="1">
      <alignment shrinkToFit="1"/>
    </xf>
    <xf numFmtId="169" fontId="18" fillId="0" borderId="1" xfId="21" applyNumberFormat="1" applyFont="1" applyBorder="1" applyAlignment="1">
      <alignment shrinkToFit="1"/>
    </xf>
    <xf numFmtId="0" fontId="18" fillId="0" borderId="0" xfId="0" applyFont="1" applyBorder="1" applyAlignment="1">
      <alignment shrinkToFit="1"/>
    </xf>
    <xf numFmtId="169" fontId="18" fillId="0" borderId="26" xfId="21" applyNumberFormat="1" applyFont="1" applyBorder="1" applyAlignment="1">
      <alignment shrinkToFit="1"/>
    </xf>
    <xf numFmtId="169" fontId="18" fillId="0" borderId="27" xfId="21" applyNumberFormat="1" applyFont="1" applyBorder="1" applyAlignment="1">
      <alignment shrinkToFit="1"/>
    </xf>
    <xf numFmtId="0" fontId="17" fillId="0" borderId="1" xfId="0" applyFont="1" applyBorder="1" applyAlignment="1">
      <alignment shrinkToFit="1"/>
    </xf>
    <xf numFmtId="169" fontId="17" fillId="0" borderId="1" xfId="21" applyNumberFormat="1" applyFont="1" applyBorder="1" applyAlignment="1">
      <alignment shrinkToFit="1"/>
    </xf>
    <xf numFmtId="169" fontId="17" fillId="0" borderId="26" xfId="21" applyNumberFormat="1" applyFont="1" applyBorder="1" applyAlignment="1">
      <alignment shrinkToFit="1"/>
    </xf>
    <xf numFmtId="169" fontId="17" fillId="0" borderId="27" xfId="21" applyNumberFormat="1" applyFont="1" applyBorder="1" applyAlignment="1">
      <alignment shrinkToFit="1"/>
    </xf>
    <xf numFmtId="169" fontId="17" fillId="0" borderId="1" xfId="0" applyNumberFormat="1" applyFont="1" applyBorder="1" applyAlignment="1">
      <alignment shrinkToFit="1"/>
    </xf>
    <xf numFmtId="169" fontId="17" fillId="0" borderId="26" xfId="0" applyNumberFormat="1" applyFont="1" applyBorder="1" applyAlignment="1">
      <alignment shrinkToFit="1"/>
    </xf>
    <xf numFmtId="169" fontId="17" fillId="0" borderId="27" xfId="0" applyNumberFormat="1" applyFont="1" applyBorder="1" applyAlignment="1">
      <alignment shrinkToFit="1"/>
    </xf>
    <xf numFmtId="0" fontId="27" fillId="0" borderId="11" xfId="0" applyFont="1" applyBorder="1" applyAlignment="1">
      <alignment shrinkToFit="1"/>
    </xf>
    <xf numFmtId="169" fontId="27" fillId="0" borderId="11" xfId="0" applyNumberFormat="1" applyFont="1" applyBorder="1" applyAlignment="1">
      <alignment shrinkToFit="1"/>
    </xf>
    <xf numFmtId="169" fontId="27" fillId="0" borderId="16" xfId="0" applyNumberFormat="1" applyFont="1" applyBorder="1" applyAlignment="1">
      <alignment shrinkToFit="1"/>
    </xf>
    <xf numFmtId="169" fontId="17" fillId="0" borderId="28" xfId="0" applyNumberFormat="1" applyFont="1" applyBorder="1" applyAlignment="1">
      <alignment shrinkToFit="1"/>
    </xf>
    <xf numFmtId="169" fontId="17" fillId="0" borderId="16" xfId="0" applyNumberFormat="1" applyFont="1" applyBorder="1" applyAlignment="1">
      <alignment shrinkToFit="1"/>
    </xf>
    <xf numFmtId="0" fontId="17" fillId="9" borderId="15" xfId="0" applyFont="1" applyFill="1" applyBorder="1" applyAlignment="1">
      <alignment shrinkToFit="1"/>
    </xf>
    <xf numFmtId="0" fontId="17" fillId="9" borderId="12" xfId="0" applyFont="1" applyFill="1" applyBorder="1" applyAlignment="1">
      <alignment shrinkToFit="1"/>
    </xf>
    <xf numFmtId="0" fontId="17" fillId="9" borderId="29" xfId="0" applyFont="1" applyFill="1" applyBorder="1" applyAlignment="1">
      <alignment shrinkToFit="1"/>
    </xf>
    <xf numFmtId="0" fontId="17" fillId="13" borderId="8" xfId="0" applyFont="1" applyFill="1" applyBorder="1" applyAlignment="1">
      <alignment shrinkToFit="1"/>
    </xf>
    <xf numFmtId="169" fontId="17" fillId="13" borderId="8" xfId="0" applyNumberFormat="1" applyFont="1" applyFill="1" applyBorder="1" applyAlignment="1">
      <alignment shrinkToFit="1"/>
    </xf>
    <xf numFmtId="169" fontId="17" fillId="13" borderId="14" xfId="0" applyNumberFormat="1" applyFont="1" applyFill="1" applyBorder="1" applyAlignment="1">
      <alignment shrinkToFit="1"/>
    </xf>
    <xf numFmtId="169" fontId="17" fillId="13" borderId="13" xfId="0" applyNumberFormat="1" applyFont="1" applyFill="1" applyBorder="1" applyAlignment="1">
      <alignment shrinkToFit="1"/>
    </xf>
    <xf numFmtId="0" fontId="17" fillId="13" borderId="1" xfId="0" applyFont="1" applyFill="1" applyBorder="1" applyAlignment="1">
      <alignment shrinkToFit="1"/>
    </xf>
    <xf numFmtId="169" fontId="17" fillId="13" borderId="1" xfId="21" applyNumberFormat="1" applyFont="1" applyFill="1" applyBorder="1" applyAlignment="1">
      <alignment shrinkToFit="1"/>
    </xf>
    <xf numFmtId="169" fontId="17" fillId="13" borderId="26" xfId="21" applyNumberFormat="1" applyFont="1" applyFill="1" applyBorder="1" applyAlignment="1">
      <alignment shrinkToFit="1"/>
    </xf>
    <xf numFmtId="169" fontId="17" fillId="13" borderId="4" xfId="21" applyNumberFormat="1" applyFont="1" applyFill="1" applyBorder="1" applyAlignment="1">
      <alignment shrinkToFit="1"/>
    </xf>
    <xf numFmtId="169" fontId="17" fillId="13" borderId="1" xfId="0" applyNumberFormat="1" applyFont="1" applyFill="1" applyBorder="1" applyAlignment="1">
      <alignment shrinkToFit="1"/>
    </xf>
    <xf numFmtId="169" fontId="17" fillId="13" borderId="26" xfId="0" applyNumberFormat="1" applyFont="1" applyFill="1" applyBorder="1" applyAlignment="1">
      <alignment shrinkToFit="1"/>
    </xf>
    <xf numFmtId="169" fontId="17" fillId="13" borderId="4" xfId="0" applyNumberFormat="1" applyFont="1" applyFill="1" applyBorder="1" applyAlignment="1">
      <alignment shrinkToFit="1"/>
    </xf>
    <xf numFmtId="169" fontId="18" fillId="8" borderId="15" xfId="21" applyNumberFormat="1" applyFont="1" applyFill="1" applyBorder="1" applyAlignment="1">
      <alignment shrinkToFit="1"/>
    </xf>
    <xf numFmtId="169" fontId="18" fillId="0" borderId="15" xfId="21" applyNumberFormat="1" applyFont="1" applyBorder="1" applyAlignment="1">
      <alignment shrinkToFit="1"/>
    </xf>
    <xf numFmtId="169" fontId="18" fillId="0" borderId="12" xfId="21" applyNumberFormat="1" applyFont="1" applyBorder="1" applyAlignment="1">
      <alignment shrinkToFit="1"/>
    </xf>
    <xf numFmtId="169" fontId="18" fillId="0" borderId="29" xfId="21" applyNumberFormat="1" applyFont="1" applyBorder="1" applyAlignment="1">
      <alignment shrinkToFit="1"/>
    </xf>
    <xf numFmtId="169" fontId="24" fillId="11" borderId="1" xfId="0" applyNumberFormat="1" applyFont="1" applyFill="1" applyBorder="1" applyAlignment="1">
      <alignment shrinkToFit="1"/>
    </xf>
    <xf numFmtId="10" fontId="24" fillId="11" borderId="1" xfId="0" applyNumberFormat="1" applyFont="1" applyFill="1" applyBorder="1" applyAlignment="1">
      <alignment horizontal="center" shrinkToFit="1"/>
    </xf>
    <xf numFmtId="9" fontId="24" fillId="12" borderId="0" xfId="0" applyNumberFormat="1" applyFont="1" applyFill="1" applyAlignment="1">
      <alignment horizontal="center" shrinkToFit="1"/>
    </xf>
    <xf numFmtId="10" fontId="24" fillId="10" borderId="1" xfId="0" applyNumberFormat="1" applyFont="1" applyFill="1" applyBorder="1" applyAlignment="1">
      <alignment horizontal="center" shrinkToFit="1"/>
    </xf>
    <xf numFmtId="0" fontId="24" fillId="16" borderId="36" xfId="0" applyFont="1" applyFill="1" applyBorder="1" applyAlignment="1">
      <alignment horizontal="center" shrinkToFit="1"/>
    </xf>
    <xf numFmtId="165" fontId="0" fillId="0" borderId="0" xfId="21" applyFont="1" applyAlignment="1">
      <alignment shrinkToFit="1"/>
    </xf>
    <xf numFmtId="9" fontId="0" fillId="0" borderId="0" xfId="0" applyNumberFormat="1" applyAlignment="1">
      <alignment shrinkToFit="1"/>
    </xf>
    <xf numFmtId="169" fontId="0" fillId="0" borderId="1" xfId="21" applyNumberFormat="1" applyFont="1" applyBorder="1" applyAlignment="1">
      <alignment shrinkToFit="1"/>
    </xf>
    <xf numFmtId="0" fontId="11" fillId="0" borderId="1" xfId="0" applyFont="1" applyBorder="1" applyAlignment="1">
      <alignment horizontal="center" shrinkToFit="1"/>
    </xf>
    <xf numFmtId="169" fontId="0" fillId="5" borderId="1" xfId="21" applyNumberFormat="1" applyFont="1" applyFill="1" applyBorder="1" applyAlignment="1">
      <alignment shrinkToFit="1"/>
    </xf>
    <xf numFmtId="169" fontId="13" fillId="0" borderId="1" xfId="21" applyNumberFormat="1" applyFont="1" applyBorder="1" applyAlignment="1">
      <alignment horizontal="center" vertical="center" shrinkToFit="1"/>
    </xf>
    <xf numFmtId="3" fontId="0" fillId="6" borderId="1" xfId="0" applyNumberFormat="1" applyFill="1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 shrinkToFit="1"/>
    </xf>
    <xf numFmtId="3" fontId="13" fillId="0" borderId="1" xfId="0" applyNumberFormat="1" applyFont="1" applyBorder="1" applyAlignment="1">
      <alignment horizontal="center" vertical="center" shrinkToFit="1"/>
    </xf>
    <xf numFmtId="0" fontId="0" fillId="0" borderId="19" xfId="0" applyBorder="1" applyAlignment="1">
      <alignment horizontal="center" shrinkToFit="1"/>
    </xf>
    <xf numFmtId="0" fontId="0" fillId="0" borderId="20" xfId="0" applyBorder="1" applyAlignment="1">
      <alignment horizontal="center" shrinkToFit="1"/>
    </xf>
    <xf numFmtId="0" fontId="13" fillId="5" borderId="22" xfId="0" applyFont="1" applyFill="1" applyBorder="1" applyAlignment="1">
      <alignment horizontal="center" shrinkToFit="1"/>
    </xf>
    <xf numFmtId="0" fontId="13" fillId="5" borderId="22" xfId="0" applyFont="1" applyFill="1" applyBorder="1" applyAlignment="1">
      <alignment shrinkToFit="1"/>
    </xf>
    <xf numFmtId="0" fontId="13" fillId="5" borderId="23" xfId="0" applyFont="1" applyFill="1" applyBorder="1" applyAlignment="1">
      <alignment shrinkToFit="1"/>
    </xf>
    <xf numFmtId="169" fontId="0" fillId="5" borderId="22" xfId="21" applyNumberFormat="1" applyFont="1" applyFill="1" applyBorder="1" applyAlignment="1">
      <alignment shrinkToFit="1"/>
    </xf>
    <xf numFmtId="0" fontId="0" fillId="5" borderId="22" xfId="0" applyFill="1" applyBorder="1" applyAlignment="1">
      <alignment shrinkToFit="1"/>
    </xf>
    <xf numFmtId="0" fontId="0" fillId="5" borderId="23" xfId="0" applyFill="1" applyBorder="1" applyAlignment="1">
      <alignment shrinkToFit="1"/>
    </xf>
    <xf numFmtId="169" fontId="0" fillId="0" borderId="22" xfId="21" applyNumberFormat="1" applyFont="1" applyBorder="1" applyAlignment="1">
      <alignment shrinkToFit="1"/>
    </xf>
    <xf numFmtId="0" fontId="0" fillId="0" borderId="23" xfId="0" applyBorder="1" applyAlignment="1">
      <alignment shrinkToFit="1"/>
    </xf>
    <xf numFmtId="169" fontId="22" fillId="0" borderId="22" xfId="21" applyNumberFormat="1" applyFont="1" applyBorder="1" applyAlignment="1">
      <alignment shrinkToFit="1"/>
    </xf>
    <xf numFmtId="0" fontId="23" fillId="0" borderId="23" xfId="0" applyFont="1" applyBorder="1" applyAlignment="1">
      <alignment shrinkToFit="1"/>
    </xf>
    <xf numFmtId="0" fontId="0" fillId="0" borderId="22" xfId="0" applyBorder="1" applyAlignment="1">
      <alignment shrinkToFit="1"/>
    </xf>
    <xf numFmtId="0" fontId="0" fillId="0" borderId="24" xfId="0" applyBorder="1" applyAlignment="1">
      <alignment shrinkToFit="1"/>
    </xf>
    <xf numFmtId="0" fontId="0" fillId="0" borderId="25" xfId="0" applyBorder="1" applyAlignment="1">
      <alignment shrinkToFit="1"/>
    </xf>
    <xf numFmtId="0" fontId="2" fillId="0" borderId="8" xfId="2" applyFont="1" applyFill="1" applyBorder="1" applyAlignment="1" applyProtection="1">
      <alignment horizontal="center" vertical="center" shrinkToFit="1"/>
    </xf>
    <xf numFmtId="0" fontId="2" fillId="0" borderId="14" xfId="2" applyFont="1" applyFill="1" applyBorder="1" applyAlignment="1" applyProtection="1">
      <alignment horizontal="center" vertical="center" shrinkToFit="1"/>
    </xf>
    <xf numFmtId="169" fontId="24" fillId="8" borderId="1" xfId="0" applyNumberFormat="1" applyFont="1" applyFill="1" applyBorder="1" applyAlignment="1">
      <alignment shrinkToFit="1"/>
    </xf>
    <xf numFmtId="169" fontId="24" fillId="8" borderId="26" xfId="0" applyNumberFormat="1" applyFont="1" applyFill="1" applyBorder="1" applyAlignment="1">
      <alignment shrinkToFit="1"/>
    </xf>
    <xf numFmtId="169" fontId="24" fillId="0" borderId="1" xfId="0" applyNumberFormat="1" applyFont="1" applyBorder="1" applyAlignment="1">
      <alignment shrinkToFit="1"/>
    </xf>
    <xf numFmtId="169" fontId="24" fillId="0" borderId="26" xfId="0" applyNumberFormat="1" applyFont="1" applyBorder="1" applyAlignment="1">
      <alignment shrinkToFit="1"/>
    </xf>
    <xf numFmtId="169" fontId="24" fillId="15" borderId="1" xfId="21" applyNumberFormat="1" applyFont="1" applyFill="1" applyBorder="1" applyAlignment="1">
      <alignment shrinkToFit="1"/>
    </xf>
    <xf numFmtId="169" fontId="24" fillId="16" borderId="1" xfId="21" applyNumberFormat="1" applyFont="1" applyFill="1" applyBorder="1" applyAlignment="1">
      <alignment shrinkToFit="1"/>
    </xf>
    <xf numFmtId="169" fontId="24" fillId="16" borderId="26" xfId="21" applyNumberFormat="1" applyFont="1" applyFill="1" applyBorder="1" applyAlignment="1">
      <alignment shrinkToFit="1"/>
    </xf>
    <xf numFmtId="169" fontId="24" fillId="5" borderId="1" xfId="21" applyNumberFormat="1" applyFont="1" applyFill="1" applyBorder="1" applyAlignment="1">
      <alignment shrinkToFit="1"/>
    </xf>
    <xf numFmtId="169" fontId="24" fillId="6" borderId="1" xfId="21" applyNumberFormat="1" applyFont="1" applyFill="1" applyBorder="1" applyAlignment="1">
      <alignment shrinkToFit="1"/>
    </xf>
    <xf numFmtId="169" fontId="24" fillId="6" borderId="26" xfId="21" applyNumberFormat="1" applyFont="1" applyFill="1" applyBorder="1" applyAlignment="1">
      <alignment shrinkToFit="1"/>
    </xf>
    <xf numFmtId="10" fontId="0" fillId="0" borderId="1" xfId="0" applyNumberFormat="1" applyBorder="1" applyAlignment="1">
      <alignment shrinkToFit="1"/>
    </xf>
    <xf numFmtId="170" fontId="0" fillId="0" borderId="26" xfId="21" applyNumberFormat="1" applyFont="1" applyBorder="1" applyAlignment="1">
      <alignment horizontal="center" shrinkToFit="1"/>
    </xf>
    <xf numFmtId="170" fontId="0" fillId="0" borderId="11" xfId="21" applyNumberFormat="1" applyFont="1" applyBorder="1" applyAlignment="1">
      <alignment horizontal="center" shrinkToFit="1"/>
    </xf>
    <xf numFmtId="170" fontId="0" fillId="0" borderId="16" xfId="21" applyNumberFormat="1" applyFont="1" applyBorder="1" applyAlignment="1">
      <alignment horizontal="center" shrinkToFit="1"/>
    </xf>
    <xf numFmtId="169" fontId="24" fillId="0" borderId="14" xfId="0" applyNumberFormat="1" applyFont="1" applyBorder="1" applyAlignment="1">
      <alignment shrinkToFit="1"/>
    </xf>
    <xf numFmtId="169" fontId="24" fillId="0" borderId="26" xfId="21" applyNumberFormat="1" applyFont="1" applyBorder="1" applyAlignment="1">
      <alignment shrinkToFit="1"/>
    </xf>
    <xf numFmtId="169" fontId="24" fillId="0" borderId="16" xfId="0" applyNumberFormat="1" applyFont="1" applyBorder="1" applyAlignment="1">
      <alignment shrinkToFit="1"/>
    </xf>
    <xf numFmtId="165" fontId="24" fillId="6" borderId="1" xfId="0" applyNumberFormat="1" applyFont="1" applyFill="1" applyBorder="1" applyAlignment="1">
      <alignment shrinkToFit="1"/>
    </xf>
    <xf numFmtId="9" fontId="24" fillId="12" borderId="1" xfId="0" applyNumberFormat="1" applyFont="1" applyFill="1" applyBorder="1" applyAlignment="1">
      <alignment shrinkToFit="1"/>
    </xf>
    <xf numFmtId="0" fontId="3" fillId="0" borderId="1" xfId="2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2" applyFont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0" fontId="33" fillId="0" borderId="5" xfId="0" applyFont="1" applyBorder="1" applyAlignment="1">
      <alignment horizontal="center" vertical="center" shrinkToFit="1"/>
    </xf>
    <xf numFmtId="0" fontId="33" fillId="0" borderId="6" xfId="0" applyFont="1" applyBorder="1" applyAlignment="1">
      <alignment horizontal="center" vertical="center" shrinkToFit="1"/>
    </xf>
  </cellXfs>
  <cellStyles count="23"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Обычный" xfId="0" builtinId="0"/>
    <cellStyle name="Обычный 2 10 2" xfId="1"/>
    <cellStyle name="Обычный 2 8" xfId="2"/>
    <cellStyle name="Обычный 9" xfId="19"/>
    <cellStyle name="Обычный_ЛЗОС кальк  2007нов" xfId="22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Процентный" xfId="3" builtinId="5"/>
    <cellStyle name="Процентный 4" xfId="4"/>
    <cellStyle name="Финансовый" xfId="21" builtinId="3"/>
    <cellStyle name="Финансовый [0] 2" xfId="2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ownloads\&#1055;&#1088;&#1077;&#1076;&#1074;&#1072;&#1088;&#1080;&#1090;&#1077;&#1083;&#1100;&#1085;&#1099;&#1081;%20&#1072;&#1085;&#1072;&#1083;&#1080;&#1079;%20&#1076;&#1086;&#1093;&#1086;&#1076;&#1085;&#1086;&#1089;&#1090;&#1080;%20&#1087;&#1088;&#1086;&#1077;&#1082;&#1090;&#1072;%2012.10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Исходные данные"/>
      <sheetName val="Финансовый результат"/>
    </sheetNames>
    <sheetDataSet>
      <sheetData sheetId="0">
        <row r="8">
          <cell r="B8">
            <v>0.18</v>
          </cell>
        </row>
        <row r="9">
          <cell r="B9">
            <v>0.7</v>
          </cell>
        </row>
        <row r="10">
          <cell r="B10">
            <v>0.30000000000000004</v>
          </cell>
        </row>
        <row r="18">
          <cell r="B18">
            <v>10</v>
          </cell>
        </row>
        <row r="19">
          <cell r="B19">
            <v>1</v>
          </cell>
        </row>
        <row r="20">
          <cell r="B20">
            <v>10</v>
          </cell>
        </row>
        <row r="21">
          <cell r="B21">
            <v>1</v>
          </cell>
        </row>
      </sheetData>
      <sheetData sheetId="1">
        <row r="3"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</sheetData>
      <sheetData sheetId="2">
        <row r="3">
          <cell r="B3">
            <v>1</v>
          </cell>
          <cell r="O3">
            <v>14</v>
          </cell>
          <cell r="P3">
            <v>15</v>
          </cell>
        </row>
        <row r="17"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opLeftCell="A3" zoomScale="85" zoomScaleNormal="85" zoomScalePageLayoutView="85" workbookViewId="0">
      <selection sqref="A1:T18"/>
    </sheetView>
  </sheetViews>
  <sheetFormatPr defaultColWidth="8.85546875" defaultRowHeight="15" x14ac:dyDescent="0.25"/>
  <cols>
    <col min="1" max="1" width="45.85546875" customWidth="1"/>
    <col min="2" max="20" width="8.7109375" customWidth="1"/>
  </cols>
  <sheetData>
    <row r="1" spans="1:20" x14ac:dyDescent="0.25">
      <c r="B1" s="96">
        <v>2016</v>
      </c>
      <c r="C1" s="96">
        <v>2017</v>
      </c>
      <c r="D1" s="96">
        <v>2018</v>
      </c>
      <c r="E1" s="96">
        <v>2019</v>
      </c>
      <c r="F1" s="96">
        <v>2020</v>
      </c>
      <c r="G1" s="96">
        <v>2021</v>
      </c>
      <c r="H1" s="96">
        <v>2022</v>
      </c>
      <c r="I1" s="96">
        <v>2023</v>
      </c>
      <c r="J1" s="96">
        <v>2024</v>
      </c>
      <c r="K1" s="96">
        <v>2025</v>
      </c>
      <c r="L1" s="96">
        <v>2026</v>
      </c>
      <c r="M1" s="96">
        <v>2027</v>
      </c>
      <c r="N1" s="96">
        <v>2028</v>
      </c>
      <c r="O1" s="96">
        <v>2029</v>
      </c>
      <c r="P1" s="96">
        <v>2030</v>
      </c>
      <c r="Q1" s="96">
        <v>2031</v>
      </c>
      <c r="R1" s="96">
        <v>2032</v>
      </c>
      <c r="S1" s="96">
        <v>2033</v>
      </c>
    </row>
    <row r="2" spans="1:20" ht="36.75" customHeight="1" x14ac:dyDescent="0.25">
      <c r="A2" s="38" t="s">
        <v>60</v>
      </c>
      <c r="B2" s="112">
        <v>7.3999999999999996E-2</v>
      </c>
      <c r="C2" s="67">
        <v>4.8000000000000001E-2</v>
      </c>
      <c r="D2" s="67">
        <v>4.4999999999999998E-2</v>
      </c>
      <c r="E2" s="67">
        <v>3.9E-2</v>
      </c>
      <c r="F2" s="67">
        <v>4.2000000000000003E-2</v>
      </c>
      <c r="G2" s="67">
        <v>3.9E-2</v>
      </c>
      <c r="H2" s="67">
        <v>3.7999999999999999E-2</v>
      </c>
      <c r="I2" s="67">
        <v>3.7999999999999999E-2</v>
      </c>
      <c r="J2" s="67">
        <v>3.5999999999999997E-2</v>
      </c>
      <c r="K2" s="67">
        <v>3.5000000000000003E-2</v>
      </c>
      <c r="L2" s="67">
        <v>3.4000000000000002E-2</v>
      </c>
      <c r="M2" s="67">
        <v>3.3000000000000002E-2</v>
      </c>
      <c r="N2" s="67">
        <v>3.1E-2</v>
      </c>
      <c r="O2" s="67">
        <v>2.9000000000000001E-2</v>
      </c>
      <c r="P2" s="67">
        <v>2.8000000000000001E-2</v>
      </c>
      <c r="Q2" s="20">
        <v>0.05</v>
      </c>
      <c r="R2" s="20">
        <v>0.05</v>
      </c>
      <c r="S2" s="20">
        <v>0.05</v>
      </c>
      <c r="T2" s="20"/>
    </row>
    <row r="3" spans="1:20" ht="36.75" customHeight="1" x14ac:dyDescent="0.25">
      <c r="A3" s="38" t="s">
        <v>61</v>
      </c>
      <c r="B3" s="112">
        <v>7.2999999999999995E-2</v>
      </c>
      <c r="C3" s="67">
        <v>6.5000000000000002E-2</v>
      </c>
      <c r="D3" s="67">
        <v>5.5E-2</v>
      </c>
      <c r="E3" s="67">
        <v>4.4999999999999998E-2</v>
      </c>
      <c r="F3" s="67">
        <v>4.2000000000000003E-2</v>
      </c>
      <c r="G3" s="67">
        <v>3.9E-2</v>
      </c>
      <c r="H3" s="67">
        <v>3.3799999999999997E-2</v>
      </c>
      <c r="I3" s="67">
        <v>2.8799999999999999E-2</v>
      </c>
      <c r="J3" s="67">
        <v>2.5999999999999999E-2</v>
      </c>
      <c r="K3" s="67">
        <v>2.5999999999999999E-2</v>
      </c>
      <c r="L3" s="67">
        <v>2.58E-2</v>
      </c>
      <c r="M3" s="67">
        <v>2.5499999999999998E-2</v>
      </c>
      <c r="N3" s="67">
        <v>2.3699999999999999E-2</v>
      </c>
      <c r="O3" s="67">
        <v>2.0797821139425708E-2</v>
      </c>
      <c r="P3" s="67">
        <v>1.9692452456097555E-2</v>
      </c>
      <c r="Q3" s="20"/>
      <c r="R3" s="20"/>
      <c r="S3" s="20"/>
      <c r="T3" s="20"/>
    </row>
    <row r="4" spans="1:20" ht="36.75" customHeight="1" x14ac:dyDescent="0.25">
      <c r="A4" s="38" t="s">
        <v>62</v>
      </c>
      <c r="B4" s="112">
        <v>7.8E-2</v>
      </c>
      <c r="C4" s="67">
        <v>7.0999999999999994E-2</v>
      </c>
      <c r="D4" s="67">
        <v>5.8999999999999997E-2</v>
      </c>
      <c r="E4" s="67">
        <v>5.6000000000000001E-2</v>
      </c>
      <c r="F4" s="67">
        <v>4.8843140978431787E-2</v>
      </c>
      <c r="G4" s="67">
        <v>4.8843140978431787E-2</v>
      </c>
      <c r="H4" s="67">
        <v>4.8843140978431787E-2</v>
      </c>
      <c r="I4" s="67">
        <v>4.8843140978431787E-2</v>
      </c>
      <c r="J4" s="67">
        <v>4.8843140978431787E-2</v>
      </c>
      <c r="K4" s="67">
        <v>3.7317858433049134E-2</v>
      </c>
      <c r="L4" s="67">
        <v>2.4418335560308257E-2</v>
      </c>
      <c r="M4" s="67">
        <v>3.6335040330028878E-2</v>
      </c>
      <c r="N4" s="67">
        <v>1.5412803486359428E-2</v>
      </c>
      <c r="O4" s="67">
        <v>1.5412803486359428E-2</v>
      </c>
      <c r="P4" s="67">
        <v>1.5412803486359428E-2</v>
      </c>
      <c r="Q4" s="20">
        <v>1.5412803486359428E-2</v>
      </c>
      <c r="R4" s="20">
        <v>1.5412803486359428E-2</v>
      </c>
      <c r="S4" s="20">
        <v>1.5412803486359428E-2</v>
      </c>
      <c r="T4" s="20"/>
    </row>
    <row r="5" spans="1:20" ht="36.75" customHeight="1" x14ac:dyDescent="0.25">
      <c r="A5" s="38" t="s">
        <v>63</v>
      </c>
      <c r="B5" s="112">
        <v>7.8E-2</v>
      </c>
      <c r="C5" s="67">
        <v>4.1000000000000002E-2</v>
      </c>
      <c r="D5" s="67">
        <v>3.9E-2</v>
      </c>
      <c r="E5" s="67">
        <v>3.6999999999999998E-2</v>
      </c>
      <c r="F5" s="67">
        <v>0.04</v>
      </c>
      <c r="G5" s="67">
        <v>4.9684885281801261E-2</v>
      </c>
      <c r="H5" s="67">
        <v>4.9643414316879353E-2</v>
      </c>
      <c r="I5" s="67">
        <v>4.698883856101399E-2</v>
      </c>
      <c r="J5" s="67">
        <v>4.4643399194610467E-2</v>
      </c>
      <c r="K5" s="67">
        <v>3.9155277780285713E-2</v>
      </c>
      <c r="L5" s="67">
        <v>3.4006598577083658E-2</v>
      </c>
      <c r="M5" s="67">
        <v>2.8158789829402453E-2</v>
      </c>
      <c r="N5" s="67">
        <v>2.4517054660528448E-2</v>
      </c>
      <c r="O5" s="67">
        <v>2.2704768408002174E-2</v>
      </c>
      <c r="P5" s="67">
        <v>2.1483687962857712E-2</v>
      </c>
      <c r="Q5" s="20">
        <v>2.1483687962857712E-2</v>
      </c>
      <c r="R5" s="20">
        <v>2.1483687962857712E-2</v>
      </c>
      <c r="S5" s="20">
        <v>2.1483687962857712E-2</v>
      </c>
      <c r="T5" s="20"/>
    </row>
    <row r="6" spans="1:20" ht="36.75" customHeight="1" x14ac:dyDescent="0.25">
      <c r="A6" s="38" t="s">
        <v>64</v>
      </c>
      <c r="B6" s="112">
        <v>0.02</v>
      </c>
      <c r="C6" s="67">
        <v>0.02</v>
      </c>
      <c r="D6" s="67">
        <v>0.02</v>
      </c>
      <c r="E6" s="67">
        <v>0.02</v>
      </c>
      <c r="F6" s="67">
        <v>2.267177996131875E-2</v>
      </c>
      <c r="G6" s="67">
        <v>2.267177996131875E-2</v>
      </c>
      <c r="H6" s="67">
        <v>2.267177996131875E-2</v>
      </c>
      <c r="I6" s="67">
        <v>2.267177996131875E-2</v>
      </c>
      <c r="J6" s="67">
        <v>2.267177996131875E-2</v>
      </c>
      <c r="K6" s="67">
        <v>3.9698921462457681E-2</v>
      </c>
      <c r="L6" s="67">
        <v>2.4310938871006771E-2</v>
      </c>
      <c r="M6" s="67">
        <v>2.2317535088129947E-2</v>
      </c>
      <c r="N6" s="67">
        <v>2.0788760954336682E-2</v>
      </c>
      <c r="O6" s="67">
        <v>1.9837350443229873E-2</v>
      </c>
      <c r="P6" s="67">
        <v>1.9847057656781963E-2</v>
      </c>
      <c r="Q6" s="20">
        <v>1.9847057656781963E-2</v>
      </c>
      <c r="R6" s="20">
        <v>1.9847057656781963E-2</v>
      </c>
      <c r="S6" s="20">
        <v>1.9847057656781963E-2</v>
      </c>
      <c r="T6" s="20"/>
    </row>
    <row r="7" spans="1:20" ht="36.75" customHeight="1" x14ac:dyDescent="0.25">
      <c r="A7" s="38" t="s">
        <v>65</v>
      </c>
      <c r="B7" s="67">
        <v>1</v>
      </c>
      <c r="C7" s="67">
        <v>0.97</v>
      </c>
      <c r="D7" s="67">
        <v>0.97</v>
      </c>
      <c r="E7" s="67">
        <v>0.98</v>
      </c>
      <c r="F7" s="67">
        <v>0.99</v>
      </c>
      <c r="G7" s="67">
        <v>0.99</v>
      </c>
      <c r="H7" s="67">
        <v>0.99</v>
      </c>
      <c r="I7" s="67">
        <v>0.99</v>
      </c>
      <c r="J7" s="67">
        <v>0.99</v>
      </c>
      <c r="K7" s="67">
        <v>0.99</v>
      </c>
      <c r="L7" s="67">
        <v>0.99</v>
      </c>
      <c r="M7" s="67">
        <v>0.99</v>
      </c>
      <c r="N7" s="67">
        <v>0.99</v>
      </c>
      <c r="O7" s="67">
        <v>0.99</v>
      </c>
      <c r="P7" s="67">
        <v>0.99</v>
      </c>
      <c r="Q7" s="20"/>
      <c r="R7" s="20"/>
      <c r="S7" s="20"/>
      <c r="T7" s="20"/>
    </row>
    <row r="8" spans="1:20" ht="36.75" customHeight="1" x14ac:dyDescent="0.25">
      <c r="A8" s="38" t="s">
        <v>66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20"/>
      <c r="R8" s="20"/>
      <c r="S8" s="20"/>
      <c r="T8" s="20"/>
    </row>
    <row r="9" spans="1:20" ht="36.75" customHeight="1" x14ac:dyDescent="0.25">
      <c r="A9" s="38" t="s">
        <v>67</v>
      </c>
      <c r="B9" s="67">
        <v>2.1999999999999999E-2</v>
      </c>
      <c r="C9" s="67">
        <v>2.1999999999999999E-2</v>
      </c>
      <c r="D9" s="67">
        <v>2.1999999999999999E-2</v>
      </c>
      <c r="E9" s="67">
        <v>2.1999999999999999E-2</v>
      </c>
      <c r="F9" s="67">
        <v>2.1999999999999999E-2</v>
      </c>
      <c r="G9" s="67">
        <v>2.1999999999999999E-2</v>
      </c>
      <c r="H9" s="67">
        <v>2.1999999999999999E-2</v>
      </c>
      <c r="I9" s="67">
        <v>2.1999999999999999E-2</v>
      </c>
      <c r="J9" s="67">
        <v>2.1999999999999999E-2</v>
      </c>
      <c r="K9" s="67">
        <v>2.1999999999999999E-2</v>
      </c>
      <c r="L9" s="67">
        <v>2.1999999999999999E-2</v>
      </c>
      <c r="M9" s="67">
        <v>2.1999999999999999E-2</v>
      </c>
      <c r="N9" s="67">
        <v>2.1999999999999999E-2</v>
      </c>
      <c r="O9" s="67">
        <v>2.1999999999999999E-2</v>
      </c>
      <c r="P9" s="67">
        <v>2.1999999999999999E-2</v>
      </c>
      <c r="Q9" s="20"/>
      <c r="R9" s="20"/>
      <c r="S9" s="20"/>
      <c r="T9" s="20"/>
    </row>
    <row r="10" spans="1:20" ht="36.75" customHeight="1" x14ac:dyDescent="0.25">
      <c r="A10" s="20" t="s">
        <v>117</v>
      </c>
      <c r="B10" s="91">
        <v>0.2</v>
      </c>
      <c r="C10" s="91">
        <v>0.2</v>
      </c>
      <c r="D10" s="91">
        <v>0.2</v>
      </c>
      <c r="E10" s="91">
        <v>0.2</v>
      </c>
      <c r="F10" s="91">
        <v>0.2</v>
      </c>
      <c r="G10" s="91">
        <v>0.2</v>
      </c>
      <c r="H10" s="91">
        <v>0.2</v>
      </c>
      <c r="I10" s="91">
        <v>0.2</v>
      </c>
      <c r="J10" s="91">
        <v>0.2</v>
      </c>
      <c r="K10" s="91">
        <v>0.2</v>
      </c>
      <c r="L10" s="91">
        <v>0.2</v>
      </c>
      <c r="M10" s="91">
        <v>0.2</v>
      </c>
      <c r="N10" s="91">
        <v>0.2</v>
      </c>
      <c r="O10" s="91">
        <v>0.2</v>
      </c>
      <c r="P10" s="91">
        <v>0.2</v>
      </c>
    </row>
    <row r="11" spans="1:20" x14ac:dyDescent="0.25">
      <c r="A11" s="94" t="s">
        <v>70</v>
      </c>
      <c r="B11" s="97">
        <v>3.3000000000000002E-2</v>
      </c>
      <c r="C11" s="97">
        <v>3.3000000000000002E-2</v>
      </c>
      <c r="D11" s="97">
        <v>3.3000000000000002E-2</v>
      </c>
      <c r="E11" s="97">
        <v>3.3000000000000002E-2</v>
      </c>
      <c r="F11" s="97">
        <v>3.3000000000000002E-2</v>
      </c>
      <c r="G11" s="97">
        <v>3.3000000000000002E-2</v>
      </c>
      <c r="H11" s="97">
        <v>3.3000000000000002E-2</v>
      </c>
      <c r="I11" s="97">
        <v>3.3000000000000002E-2</v>
      </c>
      <c r="J11" s="97">
        <v>3.3000000000000002E-2</v>
      </c>
      <c r="K11" s="97">
        <v>3.3000000000000002E-2</v>
      </c>
      <c r="L11" s="97">
        <v>3.3000000000000002E-2</v>
      </c>
      <c r="M11" s="97">
        <v>3.3000000000000002E-2</v>
      </c>
      <c r="N11" s="97">
        <v>3.3000000000000002E-2</v>
      </c>
      <c r="O11" s="97">
        <v>3.3000000000000002E-2</v>
      </c>
      <c r="P11" s="97">
        <v>3.3000000000000002E-2</v>
      </c>
    </row>
    <row r="12" spans="1:20" x14ac:dyDescent="0.25">
      <c r="A12" s="94" t="s">
        <v>71</v>
      </c>
      <c r="B12" s="97">
        <v>0.02</v>
      </c>
      <c r="C12" s="97">
        <v>0.02</v>
      </c>
      <c r="D12" s="97">
        <v>0.02</v>
      </c>
      <c r="E12" s="97">
        <v>0.02</v>
      </c>
      <c r="F12" s="97">
        <v>0.02</v>
      </c>
      <c r="G12" s="97">
        <v>0.02</v>
      </c>
      <c r="H12" s="97">
        <v>0.02</v>
      </c>
      <c r="I12" s="97">
        <v>0.02</v>
      </c>
      <c r="J12" s="97">
        <v>0.02</v>
      </c>
      <c r="K12" s="97">
        <v>0.02</v>
      </c>
      <c r="L12" s="97">
        <v>0.02</v>
      </c>
      <c r="M12" s="97">
        <v>0.02</v>
      </c>
      <c r="N12" s="97">
        <v>0.02</v>
      </c>
      <c r="O12" s="97">
        <v>0.02</v>
      </c>
      <c r="P12" s="97">
        <v>0.02</v>
      </c>
    </row>
    <row r="13" spans="1:20" x14ac:dyDescent="0.25">
      <c r="A13" s="20" t="s">
        <v>220</v>
      </c>
      <c r="B13" s="97">
        <v>0.18</v>
      </c>
      <c r="C13" s="97">
        <v>0.18</v>
      </c>
      <c r="D13" s="97">
        <v>0.18</v>
      </c>
      <c r="E13" s="97">
        <v>0.18</v>
      </c>
      <c r="F13" s="97">
        <v>0.18</v>
      </c>
      <c r="G13" s="97">
        <v>0.18</v>
      </c>
      <c r="H13" s="97">
        <v>0.18</v>
      </c>
      <c r="I13" s="97">
        <v>0.18</v>
      </c>
      <c r="J13" s="97">
        <v>0.18</v>
      </c>
      <c r="K13" s="97">
        <v>0.18</v>
      </c>
      <c r="L13" s="97">
        <v>0.18</v>
      </c>
      <c r="M13" s="97">
        <v>0.18</v>
      </c>
      <c r="N13" s="97">
        <v>0.18</v>
      </c>
      <c r="O13" s="97">
        <v>0.18</v>
      </c>
      <c r="P13" s="97">
        <v>0.18</v>
      </c>
    </row>
    <row r="14" spans="1:20" x14ac:dyDescent="0.25">
      <c r="A14" s="94" t="s">
        <v>243</v>
      </c>
      <c r="B14" s="97">
        <v>0.25</v>
      </c>
      <c r="C14" s="97">
        <v>0.25</v>
      </c>
      <c r="D14" s="97">
        <v>0.25</v>
      </c>
      <c r="E14" s="97">
        <v>0.25</v>
      </c>
      <c r="F14" s="97">
        <v>0.25</v>
      </c>
      <c r="G14" s="97">
        <v>0.25</v>
      </c>
      <c r="H14" s="97">
        <v>0.25</v>
      </c>
      <c r="I14" s="97">
        <v>0.25</v>
      </c>
      <c r="J14" s="97">
        <v>0.25</v>
      </c>
      <c r="K14" s="97">
        <v>0.25</v>
      </c>
      <c r="L14" s="97">
        <v>0.25</v>
      </c>
      <c r="M14" s="97">
        <v>0.25</v>
      </c>
      <c r="N14" s="97">
        <v>0.25</v>
      </c>
      <c r="O14" s="97">
        <v>0.25</v>
      </c>
      <c r="P14" s="97">
        <v>0.25</v>
      </c>
    </row>
    <row r="15" spans="1:20" x14ac:dyDescent="0.25">
      <c r="A15" s="94" t="s">
        <v>240</v>
      </c>
      <c r="B15" s="97">
        <v>0.2</v>
      </c>
      <c r="C15" s="97">
        <v>0.2</v>
      </c>
      <c r="D15" s="97">
        <v>0.2</v>
      </c>
      <c r="E15" s="97">
        <v>0.2</v>
      </c>
      <c r="F15" s="97">
        <v>0.2</v>
      </c>
      <c r="G15" s="97">
        <v>0.2</v>
      </c>
      <c r="H15" s="97">
        <v>0.2</v>
      </c>
      <c r="I15" s="97">
        <v>0.2</v>
      </c>
      <c r="J15" s="97">
        <v>0.2</v>
      </c>
      <c r="K15" s="97">
        <v>0.2</v>
      </c>
      <c r="L15" s="97">
        <v>0.2</v>
      </c>
      <c r="M15" s="97">
        <v>0.2</v>
      </c>
      <c r="N15" s="97">
        <v>0.2</v>
      </c>
      <c r="O15" s="97">
        <v>0.2</v>
      </c>
      <c r="P15" s="97">
        <v>0.2</v>
      </c>
    </row>
    <row r="16" spans="1:20" x14ac:dyDescent="0.25">
      <c r="A16" s="94" t="s">
        <v>244</v>
      </c>
      <c r="B16" s="97">
        <v>0.13</v>
      </c>
      <c r="C16" s="97">
        <v>0.13</v>
      </c>
      <c r="D16" s="97">
        <v>0.13</v>
      </c>
      <c r="E16" s="97">
        <v>0.13</v>
      </c>
      <c r="F16" s="97">
        <v>0.13</v>
      </c>
      <c r="G16" s="97">
        <v>0.13</v>
      </c>
      <c r="H16" s="97">
        <v>0.13</v>
      </c>
      <c r="I16" s="97">
        <v>0.13</v>
      </c>
      <c r="J16" s="97">
        <v>0.13</v>
      </c>
      <c r="K16" s="97">
        <v>0.13</v>
      </c>
      <c r="L16" s="97">
        <v>0.13</v>
      </c>
      <c r="M16" s="97">
        <v>0.13</v>
      </c>
      <c r="N16" s="97">
        <v>0.13</v>
      </c>
      <c r="O16" s="97">
        <v>0.13</v>
      </c>
      <c r="P16" s="97">
        <v>0.13</v>
      </c>
    </row>
    <row r="17" spans="1:16" x14ac:dyDescent="0.25">
      <c r="A17" s="94" t="s">
        <v>245</v>
      </c>
      <c r="B17" s="97">
        <v>0.3</v>
      </c>
      <c r="C17" s="97">
        <v>0.3</v>
      </c>
      <c r="D17" s="97">
        <v>0.3</v>
      </c>
      <c r="E17" s="97">
        <v>0.3</v>
      </c>
      <c r="F17" s="97">
        <v>0.3</v>
      </c>
      <c r="G17" s="97">
        <v>0.3</v>
      </c>
      <c r="H17" s="97">
        <v>0.3</v>
      </c>
      <c r="I17" s="97">
        <v>0.3</v>
      </c>
      <c r="J17" s="97">
        <v>0.3</v>
      </c>
      <c r="K17" s="97">
        <v>0.3</v>
      </c>
      <c r="L17" s="97">
        <v>0.3</v>
      </c>
      <c r="M17" s="97">
        <v>0.3</v>
      </c>
      <c r="N17" s="97">
        <v>0.3</v>
      </c>
      <c r="O17" s="97">
        <v>0.3</v>
      </c>
      <c r="P17" s="97">
        <v>0.3</v>
      </c>
    </row>
    <row r="18" spans="1:16" x14ac:dyDescent="0.25">
      <c r="A18" s="94" t="s">
        <v>253</v>
      </c>
      <c r="B18" s="97">
        <v>0.15</v>
      </c>
      <c r="C18" s="97">
        <v>0.15</v>
      </c>
      <c r="D18" s="97">
        <v>0.15</v>
      </c>
      <c r="E18" s="97">
        <v>0.15</v>
      </c>
      <c r="F18" s="97">
        <v>0.15</v>
      </c>
      <c r="G18" s="97">
        <v>0.15</v>
      </c>
      <c r="H18" s="97">
        <v>0.15</v>
      </c>
      <c r="I18" s="97">
        <v>0.15</v>
      </c>
      <c r="J18" s="97">
        <v>0.15</v>
      </c>
      <c r="K18" s="97">
        <v>0.15</v>
      </c>
      <c r="L18" s="97">
        <v>0.15</v>
      </c>
      <c r="M18" s="97">
        <v>0.15</v>
      </c>
      <c r="N18" s="97">
        <v>0.15</v>
      </c>
      <c r="O18" s="97">
        <v>0.15</v>
      </c>
      <c r="P18" s="97">
        <v>0.15</v>
      </c>
    </row>
  </sheetData>
  <pageMargins left="0.7" right="0.7" top="0.75" bottom="0.75" header="0.3" footer="0.3"/>
  <pageSetup paperSize="9" scale="62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8"/>
  <sheetViews>
    <sheetView topLeftCell="D79" workbookViewId="0">
      <selection activeCell="A119" sqref="A86:U119"/>
    </sheetView>
  </sheetViews>
  <sheetFormatPr defaultColWidth="8.85546875" defaultRowHeight="15" x14ac:dyDescent="0.25"/>
  <cols>
    <col min="1" max="1" width="37.85546875" customWidth="1"/>
    <col min="2" max="2" width="13.85546875" style="34" customWidth="1"/>
    <col min="3" max="3" width="8.7109375" style="266" customWidth="1"/>
    <col min="4" max="12" width="8.7109375" style="184" customWidth="1"/>
    <col min="13" max="16" width="8.7109375" style="189" customWidth="1"/>
    <col min="17" max="20" width="8.7109375" style="186" customWidth="1"/>
    <col min="21" max="33" width="12.85546875" style="155" customWidth="1"/>
    <col min="34" max="35" width="8.85546875" style="155"/>
  </cols>
  <sheetData>
    <row r="1" spans="1:17" ht="15" customHeight="1" x14ac:dyDescent="0.25">
      <c r="A1" s="37" t="s">
        <v>1</v>
      </c>
      <c r="B1" s="132" t="s">
        <v>2</v>
      </c>
      <c r="C1" s="182" t="s">
        <v>57</v>
      </c>
      <c r="D1" s="183" t="s">
        <v>58</v>
      </c>
      <c r="E1" s="183" t="s">
        <v>258</v>
      </c>
      <c r="F1" s="183" t="s">
        <v>233</v>
      </c>
      <c r="G1" s="184">
        <v>2016</v>
      </c>
      <c r="H1" s="184">
        <v>2017</v>
      </c>
      <c r="I1" s="184">
        <v>2018</v>
      </c>
      <c r="J1" s="184">
        <v>2019</v>
      </c>
      <c r="K1" s="184">
        <v>2020</v>
      </c>
      <c r="L1" s="184">
        <v>2021</v>
      </c>
      <c r="M1" s="184">
        <v>2022</v>
      </c>
      <c r="N1" s="184">
        <v>2023</v>
      </c>
      <c r="O1" s="184">
        <v>2024</v>
      </c>
      <c r="P1" s="184">
        <v>2025</v>
      </c>
      <c r="Q1" s="185"/>
    </row>
    <row r="2" spans="1:17" x14ac:dyDescent="0.25">
      <c r="A2" s="2" t="s">
        <v>135</v>
      </c>
      <c r="B2" s="135" t="s">
        <v>147</v>
      </c>
      <c r="C2" s="187">
        <f>C5</f>
        <v>0</v>
      </c>
      <c r="D2" s="187">
        <f t="shared" ref="D2:E2" si="0">D6+D8+D9+D10</f>
        <v>0</v>
      </c>
      <c r="E2" s="187">
        <f t="shared" si="0"/>
        <v>0</v>
      </c>
      <c r="F2" s="188">
        <f>F6+F8+F9+F10+F7</f>
        <v>16579.5</v>
      </c>
    </row>
    <row r="3" spans="1:17" x14ac:dyDescent="0.25">
      <c r="A3" s="2" t="s">
        <v>136</v>
      </c>
      <c r="B3" s="135" t="s">
        <v>147</v>
      </c>
      <c r="C3" s="190">
        <f>C2</f>
        <v>0</v>
      </c>
      <c r="D3" s="190">
        <f t="shared" ref="D3:E3" si="1">D2</f>
        <v>0</v>
      </c>
      <c r="E3" s="190">
        <f t="shared" si="1"/>
        <v>0</v>
      </c>
      <c r="F3" s="191">
        <v>16579.5</v>
      </c>
    </row>
    <row r="4" spans="1:17" x14ac:dyDescent="0.25">
      <c r="A4" s="5" t="s">
        <v>137</v>
      </c>
      <c r="B4" s="135" t="s">
        <v>147</v>
      </c>
      <c r="C4" s="190"/>
      <c r="D4" s="192"/>
      <c r="E4" s="192"/>
      <c r="F4" s="193"/>
    </row>
    <row r="5" spans="1:17" x14ac:dyDescent="0.25">
      <c r="A5" s="5" t="s">
        <v>138</v>
      </c>
      <c r="B5" s="135"/>
      <c r="C5" s="187">
        <f>C6+C7+C8+C9+C10</f>
        <v>0</v>
      </c>
      <c r="D5" s="187">
        <f t="shared" ref="D5:F5" si="2">D6+D7+D8+D9+D10</f>
        <v>0</v>
      </c>
      <c r="E5" s="187">
        <f t="shared" si="2"/>
        <v>0</v>
      </c>
      <c r="F5" s="188">
        <f t="shared" si="2"/>
        <v>16579.5</v>
      </c>
    </row>
    <row r="6" spans="1:17" x14ac:dyDescent="0.25">
      <c r="A6" s="5" t="s">
        <v>139</v>
      </c>
      <c r="B6" s="135" t="s">
        <v>147</v>
      </c>
      <c r="C6" s="190"/>
      <c r="D6" s="192"/>
      <c r="E6" s="192"/>
      <c r="F6" s="193">
        <v>16579.5</v>
      </c>
    </row>
    <row r="7" spans="1:17" x14ac:dyDescent="0.25">
      <c r="A7" s="33" t="s">
        <v>140</v>
      </c>
      <c r="B7" s="135" t="s">
        <v>147</v>
      </c>
      <c r="C7" s="190"/>
      <c r="D7" s="194"/>
      <c r="E7" s="194"/>
      <c r="F7" s="193"/>
    </row>
    <row r="8" spans="1:17" x14ac:dyDescent="0.25">
      <c r="A8" s="5" t="s">
        <v>141</v>
      </c>
      <c r="B8" s="136" t="s">
        <v>147</v>
      </c>
      <c r="C8" s="190"/>
      <c r="D8" s="192"/>
      <c r="E8" s="192"/>
      <c r="F8" s="193"/>
    </row>
    <row r="9" spans="1:17" x14ac:dyDescent="0.25">
      <c r="A9" s="133" t="s">
        <v>142</v>
      </c>
      <c r="B9" s="137" t="s">
        <v>147</v>
      </c>
      <c r="C9" s="190"/>
      <c r="D9" s="192"/>
      <c r="E9" s="192"/>
      <c r="F9" s="193"/>
    </row>
    <row r="10" spans="1:17" x14ac:dyDescent="0.25">
      <c r="A10" s="133" t="s">
        <v>143</v>
      </c>
      <c r="B10" s="137" t="s">
        <v>147</v>
      </c>
      <c r="C10" s="190"/>
      <c r="D10" s="192"/>
      <c r="E10" s="192"/>
      <c r="F10" s="193"/>
    </row>
    <row r="11" spans="1:17" x14ac:dyDescent="0.25">
      <c r="A11" s="133" t="s">
        <v>144</v>
      </c>
      <c r="B11" s="137" t="s">
        <v>147</v>
      </c>
      <c r="C11" s="187"/>
      <c r="D11" s="192"/>
      <c r="E11" s="192"/>
      <c r="F11" s="193"/>
    </row>
    <row r="12" spans="1:17" ht="30" x14ac:dyDescent="0.25">
      <c r="A12" s="133" t="s">
        <v>145</v>
      </c>
      <c r="B12" s="137" t="s">
        <v>147</v>
      </c>
      <c r="C12" s="187"/>
      <c r="D12" s="192"/>
      <c r="E12" s="192">
        <v>16579.5</v>
      </c>
      <c r="F12" s="193"/>
    </row>
    <row r="13" spans="1:17" x14ac:dyDescent="0.25">
      <c r="A13" s="133" t="s">
        <v>146</v>
      </c>
      <c r="B13" s="137" t="s">
        <v>147</v>
      </c>
      <c r="C13" s="195"/>
      <c r="D13" s="192"/>
      <c r="E13" s="192">
        <v>1892.7</v>
      </c>
      <c r="F13" s="193">
        <v>1892.7</v>
      </c>
    </row>
    <row r="14" spans="1:17" x14ac:dyDescent="0.25">
      <c r="A14" s="133" t="s">
        <v>148</v>
      </c>
      <c r="B14" s="137" t="s">
        <v>7</v>
      </c>
      <c r="C14" s="196" t="e">
        <f>C13/C16</f>
        <v>#DIV/0!</v>
      </c>
      <c r="D14" s="196" t="e">
        <f t="shared" ref="D14:E14" si="3">D13/D16</f>
        <v>#DIV/0!</v>
      </c>
      <c r="E14" s="196">
        <f t="shared" si="3"/>
        <v>0.12887082277963888</v>
      </c>
      <c r="F14" s="196">
        <f>F13/(F3-F11)</f>
        <v>0.11415905184112911</v>
      </c>
    </row>
    <row r="15" spans="1:17" ht="30" x14ac:dyDescent="0.25">
      <c r="A15" s="133" t="s">
        <v>149</v>
      </c>
      <c r="B15" s="137" t="s">
        <v>7</v>
      </c>
      <c r="C15" s="196" t="e">
        <f>C13/C2</f>
        <v>#DIV/0!</v>
      </c>
      <c r="D15" s="196" t="e">
        <f t="shared" ref="D15:F15" si="4">D13/D2</f>
        <v>#DIV/0!</v>
      </c>
      <c r="E15" s="196" t="e">
        <f t="shared" si="4"/>
        <v>#DIV/0!</v>
      </c>
      <c r="F15" s="196">
        <f t="shared" si="4"/>
        <v>0.11415905184112911</v>
      </c>
    </row>
    <row r="16" spans="1:17" ht="29.25" customHeight="1" x14ac:dyDescent="0.25">
      <c r="A16" s="133" t="s">
        <v>150</v>
      </c>
      <c r="B16" s="137" t="s">
        <v>147</v>
      </c>
      <c r="C16" s="187">
        <f>C2+C12-C13-C11</f>
        <v>0</v>
      </c>
      <c r="D16" s="187">
        <f t="shared" ref="D16:F16" si="5">D2+D12-D13-D11</f>
        <v>0</v>
      </c>
      <c r="E16" s="187">
        <f t="shared" si="5"/>
        <v>14686.8</v>
      </c>
      <c r="F16" s="187">
        <f t="shared" si="5"/>
        <v>14686.8</v>
      </c>
    </row>
    <row r="17" spans="1:8" ht="30" x14ac:dyDescent="0.25">
      <c r="A17" s="133" t="s">
        <v>151</v>
      </c>
      <c r="B17" s="137" t="s">
        <v>152</v>
      </c>
      <c r="C17" s="197"/>
      <c r="D17" s="192"/>
      <c r="E17" s="192"/>
      <c r="F17" s="192"/>
    </row>
    <row r="18" spans="1:8" ht="30" x14ac:dyDescent="0.25">
      <c r="A18" s="133" t="s">
        <v>153</v>
      </c>
      <c r="B18" s="137" t="s">
        <v>154</v>
      </c>
      <c r="C18" s="197"/>
      <c r="D18" s="192"/>
      <c r="E18" s="192"/>
      <c r="F18" s="198">
        <f>F33</f>
        <v>3014.59</v>
      </c>
    </row>
    <row r="19" spans="1:8" x14ac:dyDescent="0.25">
      <c r="A19" s="9" t="s">
        <v>36</v>
      </c>
      <c r="B19" s="15" t="s">
        <v>7</v>
      </c>
      <c r="C19" s="199"/>
      <c r="D19" s="192"/>
      <c r="E19" s="192"/>
      <c r="F19" s="192"/>
    </row>
    <row r="20" spans="1:8" x14ac:dyDescent="0.25">
      <c r="A20" s="9" t="s">
        <v>15</v>
      </c>
      <c r="B20" s="16" t="s">
        <v>11</v>
      </c>
      <c r="C20" s="200">
        <f>C22+C76+C77+C79</f>
        <v>0</v>
      </c>
      <c r="D20" s="200">
        <f>D22+D76+D77+D79</f>
        <v>0</v>
      </c>
      <c r="E20" s="200">
        <f>E22+E76+E77+E79</f>
        <v>0</v>
      </c>
      <c r="F20" s="201">
        <f>F22+F76+F77+F79+F73</f>
        <v>26298.266919999998</v>
      </c>
      <c r="H20" s="202">
        <f>F20-173917.41</f>
        <v>-147619.14308000001</v>
      </c>
    </row>
    <row r="21" spans="1:8" x14ac:dyDescent="0.25">
      <c r="A21" s="9" t="s">
        <v>47</v>
      </c>
      <c r="B21" s="16"/>
      <c r="C21" s="203"/>
      <c r="D21" s="192"/>
      <c r="E21" s="192"/>
      <c r="F21" s="204"/>
    </row>
    <row r="22" spans="1:8" x14ac:dyDescent="0.25">
      <c r="A22" s="11" t="s">
        <v>20</v>
      </c>
      <c r="B22" s="13" t="s">
        <v>11</v>
      </c>
      <c r="C22" s="205">
        <f>C23+C54+C64</f>
        <v>0</v>
      </c>
      <c r="D22" s="205">
        <f>D23+D54+D64</f>
        <v>0</v>
      </c>
      <c r="E22" s="205">
        <f>E23+E54+E64</f>
        <v>0</v>
      </c>
      <c r="F22" s="206">
        <f>F23+F54+F64+F29+F35+F41+F47+F53+F58</f>
        <v>18765.766919999998</v>
      </c>
    </row>
    <row r="23" spans="1:8" x14ac:dyDescent="0.25">
      <c r="A23" s="12" t="s">
        <v>10</v>
      </c>
      <c r="B23" s="13" t="s">
        <v>11</v>
      </c>
      <c r="C23" s="207"/>
      <c r="D23" s="208"/>
      <c r="E23" s="209"/>
      <c r="F23" s="210">
        <v>499.6</v>
      </c>
      <c r="G23" s="184">
        <v>0.92079999999999995</v>
      </c>
    </row>
    <row r="24" spans="1:8" x14ac:dyDescent="0.25">
      <c r="A24" s="17" t="s">
        <v>37</v>
      </c>
      <c r="B24" s="13" t="s">
        <v>7</v>
      </c>
      <c r="C24" s="211"/>
      <c r="D24" s="192"/>
      <c r="E24" s="192"/>
      <c r="F24" s="204"/>
    </row>
    <row r="25" spans="1:8" x14ac:dyDescent="0.25">
      <c r="A25" s="17" t="s">
        <v>38</v>
      </c>
      <c r="B25" s="13" t="s">
        <v>7</v>
      </c>
      <c r="C25" s="212"/>
      <c r="D25" s="192"/>
      <c r="E25" s="192"/>
      <c r="F25" s="204"/>
    </row>
    <row r="26" spans="1:8" x14ac:dyDescent="0.25">
      <c r="A26" s="17" t="s">
        <v>44</v>
      </c>
      <c r="B26" s="13" t="s">
        <v>7</v>
      </c>
      <c r="C26" s="211"/>
      <c r="D26" s="192"/>
      <c r="E26" s="192"/>
      <c r="F26" s="204"/>
    </row>
    <row r="27" spans="1:8" x14ac:dyDescent="0.25">
      <c r="A27" s="139" t="s">
        <v>155</v>
      </c>
      <c r="B27" s="13"/>
      <c r="C27" s="211"/>
      <c r="D27" s="192"/>
      <c r="E27" s="192"/>
      <c r="F27" s="204"/>
    </row>
    <row r="28" spans="1:8" x14ac:dyDescent="0.25">
      <c r="A28" s="140" t="s">
        <v>156</v>
      </c>
      <c r="B28" s="143" t="s">
        <v>162</v>
      </c>
      <c r="C28" s="211"/>
      <c r="D28" s="192"/>
      <c r="E28" s="192"/>
      <c r="F28" s="204"/>
    </row>
    <row r="29" spans="1:8" x14ac:dyDescent="0.25">
      <c r="A29" s="149" t="s">
        <v>157</v>
      </c>
      <c r="B29" s="150" t="s">
        <v>11</v>
      </c>
      <c r="C29" s="213"/>
      <c r="D29" s="214"/>
      <c r="E29" s="214"/>
      <c r="F29" s="215">
        <f>F30*F31/1000</f>
        <v>13382.235000000001</v>
      </c>
    </row>
    <row r="30" spans="1:8" x14ac:dyDescent="0.25">
      <c r="A30" s="141" t="s">
        <v>165</v>
      </c>
      <c r="B30" s="143" t="s">
        <v>28</v>
      </c>
      <c r="C30" s="211"/>
      <c r="D30" s="192"/>
      <c r="E30" s="192"/>
      <c r="F30" s="204">
        <v>4929</v>
      </c>
    </row>
    <row r="31" spans="1:8" x14ac:dyDescent="0.25">
      <c r="A31" s="141" t="s">
        <v>166</v>
      </c>
      <c r="B31" s="143" t="s">
        <v>4</v>
      </c>
      <c r="C31" s="211"/>
      <c r="D31" s="192"/>
      <c r="E31" s="192"/>
      <c r="F31" s="204">
        <v>2715</v>
      </c>
    </row>
    <row r="32" spans="1:8" x14ac:dyDescent="0.25">
      <c r="A32" s="138" t="s">
        <v>167</v>
      </c>
      <c r="B32" s="143" t="s">
        <v>171</v>
      </c>
      <c r="C32" s="211"/>
      <c r="D32" s="192"/>
      <c r="E32" s="192"/>
      <c r="F32" s="198">
        <v>155.28</v>
      </c>
    </row>
    <row r="33" spans="1:6" x14ac:dyDescent="0.25">
      <c r="A33" s="138" t="s">
        <v>154</v>
      </c>
      <c r="B33" s="143"/>
      <c r="C33" s="211"/>
      <c r="D33" s="192"/>
      <c r="E33" s="192"/>
      <c r="F33" s="193">
        <v>3014.59</v>
      </c>
    </row>
    <row r="34" spans="1:6" x14ac:dyDescent="0.25">
      <c r="A34" s="138" t="s">
        <v>168</v>
      </c>
      <c r="B34" s="143"/>
      <c r="C34" s="211"/>
      <c r="D34" s="192"/>
      <c r="E34" s="192"/>
      <c r="F34" s="216">
        <v>18.317</v>
      </c>
    </row>
    <row r="35" spans="1:6" x14ac:dyDescent="0.25">
      <c r="A35" s="149" t="s">
        <v>158</v>
      </c>
      <c r="B35" s="150" t="s">
        <v>11</v>
      </c>
      <c r="C35" s="213"/>
      <c r="D35" s="214"/>
      <c r="E35" s="214"/>
      <c r="F35" s="215">
        <f>F36*F37/1000</f>
        <v>0</v>
      </c>
    </row>
    <row r="36" spans="1:6" x14ac:dyDescent="0.25">
      <c r="A36" s="142" t="s">
        <v>165</v>
      </c>
      <c r="B36" s="143" t="s">
        <v>28</v>
      </c>
      <c r="C36" s="211"/>
      <c r="D36" s="192"/>
      <c r="E36" s="192"/>
      <c r="F36" s="193"/>
    </row>
    <row r="37" spans="1:6" x14ac:dyDescent="0.25">
      <c r="A37" s="141" t="s">
        <v>166</v>
      </c>
      <c r="B37" s="143" t="s">
        <v>169</v>
      </c>
      <c r="C37" s="211"/>
      <c r="D37" s="192"/>
      <c r="E37" s="192"/>
      <c r="F37" s="193"/>
    </row>
    <row r="38" spans="1:6" x14ac:dyDescent="0.25">
      <c r="A38" s="138" t="s">
        <v>167</v>
      </c>
      <c r="B38" s="143" t="s">
        <v>170</v>
      </c>
      <c r="C38" s="211"/>
      <c r="D38" s="192"/>
      <c r="E38" s="192"/>
      <c r="F38" s="193"/>
    </row>
    <row r="39" spans="1:6" x14ac:dyDescent="0.25">
      <c r="A39" s="138" t="s">
        <v>154</v>
      </c>
      <c r="B39" s="143" t="s">
        <v>173</v>
      </c>
      <c r="C39" s="211"/>
      <c r="D39" s="192"/>
      <c r="E39" s="192"/>
      <c r="F39" s="193"/>
    </row>
    <row r="40" spans="1:6" x14ac:dyDescent="0.25">
      <c r="A40" s="138" t="s">
        <v>168</v>
      </c>
      <c r="B40" s="143"/>
      <c r="C40" s="211"/>
      <c r="D40" s="192"/>
      <c r="E40" s="192"/>
      <c r="F40" s="193" t="e">
        <f>F39*F7/1000/F37</f>
        <v>#DIV/0!</v>
      </c>
    </row>
    <row r="41" spans="1:6" x14ac:dyDescent="0.25">
      <c r="A41" s="149" t="s">
        <v>159</v>
      </c>
      <c r="B41" s="150" t="s">
        <v>11</v>
      </c>
      <c r="C41" s="213"/>
      <c r="D41" s="214"/>
      <c r="E41" s="214"/>
      <c r="F41" s="217"/>
    </row>
    <row r="42" spans="1:6" x14ac:dyDescent="0.25">
      <c r="A42" s="142" t="s">
        <v>165</v>
      </c>
      <c r="B42" s="143" t="s">
        <v>28</v>
      </c>
      <c r="C42" s="211"/>
      <c r="D42" s="192"/>
      <c r="E42" s="192"/>
      <c r="F42" s="192"/>
    </row>
    <row r="43" spans="1:6" x14ac:dyDescent="0.25">
      <c r="A43" s="141" t="s">
        <v>166</v>
      </c>
      <c r="B43" s="143" t="s">
        <v>163</v>
      </c>
      <c r="C43" s="211"/>
      <c r="D43" s="192"/>
      <c r="E43" s="192"/>
      <c r="F43" s="192"/>
    </row>
    <row r="44" spans="1:6" x14ac:dyDescent="0.25">
      <c r="A44" s="138" t="s">
        <v>167</v>
      </c>
      <c r="B44" s="143"/>
      <c r="C44" s="211" t="s">
        <v>77</v>
      </c>
      <c r="D44" s="192"/>
      <c r="E44" s="192"/>
      <c r="F44" s="192"/>
    </row>
    <row r="45" spans="1:6" x14ac:dyDescent="0.25">
      <c r="A45" s="138" t="s">
        <v>154</v>
      </c>
      <c r="B45" s="143"/>
      <c r="C45" s="211"/>
      <c r="D45" s="192"/>
      <c r="E45" s="192"/>
      <c r="F45" s="192"/>
    </row>
    <row r="46" spans="1:6" x14ac:dyDescent="0.25">
      <c r="A46" s="138" t="s">
        <v>168</v>
      </c>
      <c r="B46" s="143"/>
      <c r="C46" s="211"/>
      <c r="D46" s="192"/>
      <c r="E46" s="192"/>
      <c r="F46" s="192"/>
    </row>
    <row r="47" spans="1:6" x14ac:dyDescent="0.25">
      <c r="A47" s="149" t="s">
        <v>160</v>
      </c>
      <c r="B47" s="150" t="s">
        <v>11</v>
      </c>
      <c r="C47" s="213"/>
      <c r="D47" s="214"/>
      <c r="E47" s="214"/>
      <c r="F47" s="218">
        <f>F48*F49/1000</f>
        <v>0</v>
      </c>
    </row>
    <row r="48" spans="1:6" x14ac:dyDescent="0.25">
      <c r="A48" s="142" t="s">
        <v>165</v>
      </c>
      <c r="B48" s="143" t="s">
        <v>28</v>
      </c>
      <c r="C48" s="211"/>
      <c r="D48" s="192"/>
      <c r="E48" s="192"/>
      <c r="F48" s="192"/>
    </row>
    <row r="49" spans="1:6" x14ac:dyDescent="0.25">
      <c r="A49" s="141" t="s">
        <v>166</v>
      </c>
      <c r="B49" s="143" t="s">
        <v>173</v>
      </c>
      <c r="C49" s="211"/>
      <c r="D49" s="192"/>
      <c r="E49" s="192"/>
      <c r="F49" s="192"/>
    </row>
    <row r="50" spans="1:6" x14ac:dyDescent="0.25">
      <c r="A50" s="138" t="s">
        <v>167</v>
      </c>
      <c r="B50" s="143" t="s">
        <v>170</v>
      </c>
      <c r="C50" s="211"/>
      <c r="D50" s="192"/>
      <c r="E50" s="192"/>
      <c r="F50" s="198" t="e">
        <f>F49/F9</f>
        <v>#DIV/0!</v>
      </c>
    </row>
    <row r="51" spans="1:6" x14ac:dyDescent="0.25">
      <c r="A51" s="138" t="s">
        <v>154</v>
      </c>
      <c r="B51" s="143" t="s">
        <v>173</v>
      </c>
      <c r="C51" s="211"/>
      <c r="D51" s="192"/>
      <c r="E51" s="192"/>
      <c r="F51" s="192"/>
    </row>
    <row r="52" spans="1:6" x14ac:dyDescent="0.25">
      <c r="A52" s="138" t="s">
        <v>168</v>
      </c>
      <c r="B52" s="143"/>
      <c r="C52" s="211"/>
      <c r="D52" s="192"/>
      <c r="E52" s="192"/>
      <c r="F52" s="216" t="e">
        <f>F51*F9/1000/F49</f>
        <v>#DIV/0!</v>
      </c>
    </row>
    <row r="53" spans="1:6" x14ac:dyDescent="0.25">
      <c r="A53" s="149" t="s">
        <v>161</v>
      </c>
      <c r="B53" s="150" t="s">
        <v>11</v>
      </c>
      <c r="C53" s="213"/>
      <c r="D53" s="214"/>
      <c r="E53" s="214">
        <v>22086.9</v>
      </c>
      <c r="F53" s="217"/>
    </row>
    <row r="54" spans="1:6" x14ac:dyDescent="0.25">
      <c r="A54" s="146" t="s">
        <v>19</v>
      </c>
      <c r="B54" s="148" t="s">
        <v>11</v>
      </c>
      <c r="C54" s="219">
        <f>C55*C56</f>
        <v>0</v>
      </c>
      <c r="D54" s="219">
        <f>D55*D56</f>
        <v>0</v>
      </c>
      <c r="E54" s="219">
        <f>E55*E56</f>
        <v>0</v>
      </c>
      <c r="F54" s="220">
        <f>F55*F56</f>
        <v>1272.0554400000001</v>
      </c>
    </row>
    <row r="55" spans="1:6" x14ac:dyDescent="0.25">
      <c r="A55" s="141" t="s">
        <v>164</v>
      </c>
      <c r="B55" s="1" t="s">
        <v>28</v>
      </c>
      <c r="C55" s="221"/>
      <c r="D55" s="192"/>
      <c r="E55" s="192"/>
      <c r="F55" s="222">
        <v>5.1836000000000002</v>
      </c>
    </row>
    <row r="56" spans="1:6" x14ac:dyDescent="0.25">
      <c r="A56" s="138" t="s">
        <v>29</v>
      </c>
      <c r="B56" s="1" t="s">
        <v>72</v>
      </c>
      <c r="C56" s="221"/>
      <c r="D56" s="221"/>
      <c r="E56" s="221"/>
      <c r="F56" s="223">
        <v>245.4</v>
      </c>
    </row>
    <row r="57" spans="1:6" x14ac:dyDescent="0.25">
      <c r="A57" s="142" t="s">
        <v>167</v>
      </c>
      <c r="B57" s="1" t="s">
        <v>172</v>
      </c>
      <c r="C57" s="221"/>
      <c r="D57" s="221"/>
      <c r="E57" s="221"/>
      <c r="F57" s="221">
        <f>F56/F5*1000</f>
        <v>14.801411381525378</v>
      </c>
    </row>
    <row r="58" spans="1:6" x14ac:dyDescent="0.25">
      <c r="A58" s="146" t="s">
        <v>174</v>
      </c>
      <c r="B58" s="147"/>
      <c r="C58" s="224"/>
      <c r="D58" s="224"/>
      <c r="E58" s="224"/>
      <c r="F58" s="220">
        <f>F59*F60/1000+F62*F63/1000</f>
        <v>2081.8764799999999</v>
      </c>
    </row>
    <row r="59" spans="1:6" x14ac:dyDescent="0.25">
      <c r="A59" s="141" t="s">
        <v>175</v>
      </c>
      <c r="B59" s="1" t="s">
        <v>177</v>
      </c>
      <c r="C59" s="221"/>
      <c r="D59" s="221"/>
      <c r="E59" s="221"/>
      <c r="F59" s="221">
        <v>18.579999999999998</v>
      </c>
    </row>
    <row r="60" spans="1:6" x14ac:dyDescent="0.25">
      <c r="A60" s="138" t="s">
        <v>176</v>
      </c>
      <c r="B60" s="1" t="s">
        <v>178</v>
      </c>
      <c r="C60" s="221"/>
      <c r="D60" s="221"/>
      <c r="E60" s="221"/>
      <c r="F60" s="223">
        <v>108101</v>
      </c>
    </row>
    <row r="61" spans="1:6" x14ac:dyDescent="0.25">
      <c r="A61" s="142" t="s">
        <v>167</v>
      </c>
      <c r="B61" s="1"/>
      <c r="C61" s="221"/>
      <c r="D61" s="221"/>
      <c r="E61" s="221"/>
      <c r="F61" s="221">
        <f>F60/F2</f>
        <v>6.5201604390964745</v>
      </c>
    </row>
    <row r="62" spans="1:6" x14ac:dyDescent="0.25">
      <c r="A62" s="142" t="s">
        <v>179</v>
      </c>
      <c r="B62" s="1" t="s">
        <v>177</v>
      </c>
      <c r="C62" s="221"/>
      <c r="D62" s="221"/>
      <c r="E62" s="221"/>
      <c r="F62" s="221">
        <v>16.649999999999999</v>
      </c>
    </row>
    <row r="63" spans="1:6" x14ac:dyDescent="0.25">
      <c r="A63" s="138" t="s">
        <v>176</v>
      </c>
      <c r="B63" s="1" t="s">
        <v>178</v>
      </c>
      <c r="C63" s="221"/>
      <c r="D63" s="221"/>
      <c r="E63" s="221"/>
      <c r="F63" s="223">
        <v>4406</v>
      </c>
    </row>
    <row r="64" spans="1:6" x14ac:dyDescent="0.25">
      <c r="A64" s="12" t="s">
        <v>12</v>
      </c>
      <c r="B64" s="13" t="s">
        <v>11</v>
      </c>
      <c r="C64" s="225">
        <f>C65+C69+C71</f>
        <v>0</v>
      </c>
      <c r="D64" s="225">
        <f t="shared" ref="D64:E64" si="6">D65+D69+D71</f>
        <v>0</v>
      </c>
      <c r="E64" s="225">
        <f t="shared" si="6"/>
        <v>0</v>
      </c>
      <c r="F64" s="225">
        <f>F65+F69+F71+F72+F74+F75</f>
        <v>1530</v>
      </c>
    </row>
    <row r="65" spans="1:6" x14ac:dyDescent="0.25">
      <c r="A65" s="17" t="s">
        <v>54</v>
      </c>
      <c r="B65" s="13" t="s">
        <v>11</v>
      </c>
      <c r="C65" s="225">
        <f>SUM(C66:C68)</f>
        <v>0</v>
      </c>
      <c r="D65" s="225">
        <f t="shared" ref="D65:E65" si="7">SUM(D66:D68)</f>
        <v>0</v>
      </c>
      <c r="E65" s="225">
        <f t="shared" si="7"/>
        <v>0</v>
      </c>
      <c r="F65" s="225">
        <f>SUM(F66:F68)+F70</f>
        <v>1032</v>
      </c>
    </row>
    <row r="66" spans="1:6" x14ac:dyDescent="0.25">
      <c r="A66" s="17" t="s">
        <v>55</v>
      </c>
      <c r="B66" s="13" t="s">
        <v>11</v>
      </c>
      <c r="C66" s="225"/>
      <c r="D66" s="192"/>
      <c r="E66" s="192"/>
      <c r="F66" s="192">
        <v>1030</v>
      </c>
    </row>
    <row r="67" spans="1:6" x14ac:dyDescent="0.25">
      <c r="A67" s="17" t="s">
        <v>56</v>
      </c>
      <c r="B67" s="13" t="s">
        <v>11</v>
      </c>
      <c r="C67" s="225"/>
      <c r="D67" s="192"/>
      <c r="E67" s="192"/>
      <c r="F67" s="192"/>
    </row>
    <row r="68" spans="1:6" x14ac:dyDescent="0.25">
      <c r="A68" s="17" t="s">
        <v>232</v>
      </c>
      <c r="B68" s="13" t="s">
        <v>11</v>
      </c>
      <c r="C68" s="225"/>
      <c r="D68" s="192"/>
      <c r="E68" s="192"/>
      <c r="F68" s="192"/>
    </row>
    <row r="69" spans="1:6" x14ac:dyDescent="0.25">
      <c r="A69" s="17" t="s">
        <v>39</v>
      </c>
      <c r="B69" s="13" t="s">
        <v>11</v>
      </c>
      <c r="C69" s="225"/>
      <c r="D69" s="192"/>
      <c r="E69" s="192"/>
      <c r="F69" s="192"/>
    </row>
    <row r="70" spans="1:6" x14ac:dyDescent="0.25">
      <c r="A70" s="17" t="s">
        <v>180</v>
      </c>
      <c r="B70" s="13" t="s">
        <v>11</v>
      </c>
      <c r="C70" s="225"/>
      <c r="D70" s="192"/>
      <c r="E70" s="192"/>
      <c r="F70" s="192">
        <v>2</v>
      </c>
    </row>
    <row r="71" spans="1:6" x14ac:dyDescent="0.25">
      <c r="A71" s="17" t="s">
        <v>30</v>
      </c>
      <c r="B71" s="13" t="s">
        <v>11</v>
      </c>
      <c r="C71" s="225"/>
      <c r="D71" s="192"/>
      <c r="E71" s="192"/>
      <c r="F71" s="192"/>
    </row>
    <row r="72" spans="1:6" ht="30" x14ac:dyDescent="0.25">
      <c r="A72" s="17" t="s">
        <v>181</v>
      </c>
      <c r="B72" s="13" t="s">
        <v>11</v>
      </c>
      <c r="C72" s="225"/>
      <c r="D72" s="192"/>
      <c r="E72" s="192"/>
      <c r="F72" s="192">
        <v>145</v>
      </c>
    </row>
    <row r="73" spans="1:6" x14ac:dyDescent="0.25">
      <c r="A73" s="17" t="s">
        <v>182</v>
      </c>
      <c r="B73" s="13"/>
      <c r="C73" s="225"/>
      <c r="D73" s="192"/>
      <c r="E73" s="192"/>
      <c r="F73" s="192"/>
    </row>
    <row r="74" spans="1:6" x14ac:dyDescent="0.25">
      <c r="A74" s="17" t="s">
        <v>183</v>
      </c>
      <c r="B74" s="13"/>
      <c r="C74" s="225"/>
      <c r="D74" s="192"/>
      <c r="E74" s="192"/>
      <c r="F74" s="192">
        <v>353</v>
      </c>
    </row>
    <row r="75" spans="1:6" x14ac:dyDescent="0.25">
      <c r="A75" s="17" t="s">
        <v>235</v>
      </c>
      <c r="B75" s="13"/>
      <c r="C75" s="225"/>
      <c r="D75" s="192"/>
      <c r="E75" s="192"/>
      <c r="F75" s="192"/>
    </row>
    <row r="76" spans="1:6" x14ac:dyDescent="0.25">
      <c r="A76" s="14" t="s">
        <v>13</v>
      </c>
      <c r="B76" s="13" t="s">
        <v>11</v>
      </c>
      <c r="C76" s="225"/>
      <c r="D76" s="192"/>
      <c r="E76" s="192"/>
      <c r="F76" s="206">
        <v>6329</v>
      </c>
    </row>
    <row r="77" spans="1:6" x14ac:dyDescent="0.25">
      <c r="A77" s="11" t="s">
        <v>14</v>
      </c>
      <c r="B77" s="13" t="s">
        <v>11</v>
      </c>
      <c r="C77" s="225"/>
      <c r="D77" s="192"/>
      <c r="E77" s="192"/>
      <c r="F77" s="192">
        <v>1203.5</v>
      </c>
    </row>
    <row r="78" spans="1:6" x14ac:dyDescent="0.25">
      <c r="A78" s="17" t="s">
        <v>43</v>
      </c>
      <c r="B78" s="13" t="s">
        <v>7</v>
      </c>
      <c r="C78" s="226"/>
      <c r="D78" s="192"/>
      <c r="E78" s="192"/>
      <c r="F78" s="192"/>
    </row>
    <row r="79" spans="1:6" ht="30" x14ac:dyDescent="0.25">
      <c r="A79" s="14" t="s">
        <v>40</v>
      </c>
      <c r="B79" s="13" t="s">
        <v>11</v>
      </c>
      <c r="C79" s="225"/>
      <c r="D79" s="192"/>
      <c r="E79" s="192"/>
      <c r="F79" s="192"/>
    </row>
    <row r="80" spans="1:6" x14ac:dyDescent="0.25">
      <c r="A80" s="9" t="s">
        <v>198</v>
      </c>
      <c r="B80" s="15" t="s">
        <v>260</v>
      </c>
      <c r="C80" s="227"/>
      <c r="D80" s="192"/>
      <c r="E80" s="192"/>
      <c r="F80" s="198">
        <f>F20/F16*1000</f>
        <v>1790.6056404390336</v>
      </c>
    </row>
    <row r="81" spans="1:35" x14ac:dyDescent="0.25">
      <c r="A81" s="9" t="s">
        <v>33</v>
      </c>
      <c r="B81" s="15" t="s">
        <v>260</v>
      </c>
      <c r="C81" s="228"/>
      <c r="D81" s="192"/>
      <c r="E81" s="192">
        <v>1553.79</v>
      </c>
      <c r="F81" s="229">
        <v>1607.32</v>
      </c>
    </row>
    <row r="82" spans="1:35" x14ac:dyDescent="0.25">
      <c r="A82" s="23" t="s">
        <v>34</v>
      </c>
      <c r="B82" s="15" t="s">
        <v>260</v>
      </c>
      <c r="C82" s="228"/>
      <c r="D82" s="192"/>
      <c r="E82" s="192">
        <v>1607.32</v>
      </c>
      <c r="F82" s="192">
        <v>1654.43</v>
      </c>
    </row>
    <row r="83" spans="1:35" x14ac:dyDescent="0.25">
      <c r="A83" s="23" t="s">
        <v>35</v>
      </c>
      <c r="B83" s="16" t="s">
        <v>7</v>
      </c>
      <c r="C83" s="230"/>
      <c r="D83" s="192"/>
      <c r="E83" s="192"/>
      <c r="F83" s="230">
        <f>F82/F81</f>
        <v>1.0293096583132171</v>
      </c>
    </row>
    <row r="84" spans="1:35" x14ac:dyDescent="0.25">
      <c r="A84" s="34"/>
      <c r="C84" s="184"/>
    </row>
    <row r="85" spans="1:35" x14ac:dyDescent="0.25">
      <c r="A85" s="34"/>
      <c r="C85" s="184"/>
    </row>
    <row r="86" spans="1:35" x14ac:dyDescent="0.25">
      <c r="A86" s="23" t="s">
        <v>92</v>
      </c>
      <c r="B86" s="35"/>
      <c r="C86" s="197"/>
      <c r="D86" s="192" t="s">
        <v>58</v>
      </c>
      <c r="E86" s="192" t="s">
        <v>59</v>
      </c>
      <c r="F86" s="192" t="s">
        <v>233</v>
      </c>
      <c r="G86" s="192">
        <v>2016</v>
      </c>
      <c r="H86" s="192">
        <v>2017</v>
      </c>
      <c r="I86" s="192">
        <v>2018</v>
      </c>
      <c r="J86" s="192">
        <v>2019</v>
      </c>
      <c r="K86" s="192">
        <v>2020</v>
      </c>
      <c r="L86" s="192">
        <v>2021</v>
      </c>
      <c r="M86" s="192">
        <v>2022</v>
      </c>
      <c r="N86" s="192">
        <v>2023</v>
      </c>
      <c r="O86" s="231">
        <v>2024</v>
      </c>
      <c r="P86" s="192">
        <v>2025</v>
      </c>
      <c r="Q86" s="231">
        <v>2026</v>
      </c>
      <c r="R86" s="192">
        <v>2027</v>
      </c>
      <c r="S86" s="231">
        <v>2028</v>
      </c>
      <c r="T86" s="192">
        <v>2029</v>
      </c>
      <c r="U86" s="136">
        <v>2030</v>
      </c>
      <c r="V86" s="154"/>
      <c r="W86" s="154"/>
      <c r="X86" s="154"/>
      <c r="Y86" s="154"/>
      <c r="Z86" s="154"/>
      <c r="AA86" s="154"/>
      <c r="AB86" s="154"/>
      <c r="AC86" s="154"/>
    </row>
    <row r="87" spans="1:35" s="53" customFormat="1" x14ac:dyDescent="0.25">
      <c r="A87" s="70" t="s">
        <v>93</v>
      </c>
      <c r="B87" s="71" t="s">
        <v>147</v>
      </c>
      <c r="C87" s="232"/>
      <c r="D87" s="204"/>
      <c r="E87" s="204">
        <v>11691</v>
      </c>
      <c r="F87" s="204">
        <v>11691</v>
      </c>
      <c r="G87" s="204">
        <f>F87*G88</f>
        <v>11691</v>
      </c>
      <c r="H87" s="204">
        <f>G87*H88</f>
        <v>11691</v>
      </c>
      <c r="I87" s="204">
        <f t="shared" ref="I87:K87" si="8">H87*I88</f>
        <v>11691</v>
      </c>
      <c r="J87" s="204">
        <f t="shared" si="8"/>
        <v>11691</v>
      </c>
      <c r="K87" s="204">
        <f t="shared" si="8"/>
        <v>11691</v>
      </c>
      <c r="L87" s="204">
        <f t="shared" ref="L87" si="9">K87*L88</f>
        <v>11691</v>
      </c>
      <c r="M87" s="204">
        <f t="shared" ref="M87" si="10">L87*M88</f>
        <v>11691</v>
      </c>
      <c r="N87" s="204">
        <f t="shared" ref="N87" si="11">M87*N88</f>
        <v>11691</v>
      </c>
      <c r="O87" s="233">
        <f t="shared" ref="O87" si="12">N87*O88</f>
        <v>11691</v>
      </c>
      <c r="P87" s="204">
        <f t="shared" ref="P87" si="13">O87*P88</f>
        <v>11691</v>
      </c>
      <c r="Q87" s="204">
        <f t="shared" ref="Q87" si="14">P87*Q88</f>
        <v>11691</v>
      </c>
      <c r="R87" s="204">
        <f t="shared" ref="R87" si="15">Q87*R88</f>
        <v>11691</v>
      </c>
      <c r="S87" s="204">
        <f t="shared" ref="S87" si="16">R87*S88</f>
        <v>11691</v>
      </c>
      <c r="T87" s="204">
        <f t="shared" ref="T87" si="17">S87*T88</f>
        <v>11691</v>
      </c>
      <c r="U87" s="72">
        <f t="shared" ref="U87" si="18">T87*U88</f>
        <v>11691</v>
      </c>
      <c r="V87" s="156"/>
      <c r="W87" s="156"/>
      <c r="X87" s="156"/>
      <c r="Y87" s="156"/>
      <c r="Z87" s="156"/>
      <c r="AA87" s="156"/>
      <c r="AB87" s="156"/>
      <c r="AC87" s="156"/>
      <c r="AD87" s="156"/>
      <c r="AE87" s="156"/>
      <c r="AF87" s="156"/>
      <c r="AG87" s="156"/>
      <c r="AH87" s="157"/>
      <c r="AI87" s="157"/>
    </row>
    <row r="88" spans="1:35" x14ac:dyDescent="0.25">
      <c r="A88" s="14" t="s">
        <v>97</v>
      </c>
      <c r="B88" s="3"/>
      <c r="C88" s="197"/>
      <c r="D88" s="192"/>
      <c r="E88" s="234">
        <v>1</v>
      </c>
      <c r="F88" s="234">
        <v>1</v>
      </c>
      <c r="G88" s="235">
        <v>1</v>
      </c>
      <c r="H88" s="235">
        <f t="shared" ref="H88:N88" si="19">G88</f>
        <v>1</v>
      </c>
      <c r="I88" s="235">
        <f t="shared" si="19"/>
        <v>1</v>
      </c>
      <c r="J88" s="235">
        <v>1</v>
      </c>
      <c r="K88" s="235">
        <f t="shared" si="19"/>
        <v>1</v>
      </c>
      <c r="L88" s="235">
        <f t="shared" si="19"/>
        <v>1</v>
      </c>
      <c r="M88" s="235">
        <f t="shared" si="19"/>
        <v>1</v>
      </c>
      <c r="N88" s="235">
        <f t="shared" si="19"/>
        <v>1</v>
      </c>
      <c r="O88" s="236">
        <f t="shared" ref="O88:P88" si="20">N88</f>
        <v>1</v>
      </c>
      <c r="P88" s="235">
        <f t="shared" si="20"/>
        <v>1</v>
      </c>
      <c r="Q88" s="235">
        <f t="shared" ref="Q88" si="21">P88</f>
        <v>1</v>
      </c>
      <c r="R88" s="235">
        <f t="shared" ref="R88" si="22">Q88</f>
        <v>1</v>
      </c>
      <c r="S88" s="235">
        <f t="shared" ref="S88" si="23">R88</f>
        <v>1</v>
      </c>
      <c r="T88" s="235">
        <f t="shared" ref="T88" si="24">S88</f>
        <v>1</v>
      </c>
      <c r="U88" s="73">
        <f t="shared" ref="U88" si="25">T88</f>
        <v>1</v>
      </c>
      <c r="V88" s="158"/>
      <c r="W88" s="158"/>
      <c r="X88" s="158"/>
      <c r="Y88" s="158"/>
      <c r="Z88" s="158"/>
      <c r="AA88" s="158"/>
      <c r="AB88" s="158"/>
      <c r="AC88" s="158"/>
      <c r="AD88" s="158"/>
      <c r="AE88" s="158"/>
      <c r="AF88" s="158"/>
      <c r="AG88" s="158"/>
    </row>
    <row r="89" spans="1:35" s="53" customFormat="1" x14ac:dyDescent="0.25">
      <c r="A89" s="70" t="s">
        <v>94</v>
      </c>
      <c r="B89" s="71" t="s">
        <v>147</v>
      </c>
      <c r="C89" s="232"/>
      <c r="D89" s="204"/>
      <c r="E89" s="204">
        <v>2996</v>
      </c>
      <c r="F89" s="204">
        <f>F16-F87</f>
        <v>2995.7999999999993</v>
      </c>
      <c r="G89" s="204">
        <f>F89*G88</f>
        <v>2995.7999999999993</v>
      </c>
      <c r="H89" s="204">
        <f>G89*H90</f>
        <v>2995.7999999999993</v>
      </c>
      <c r="I89" s="204">
        <f t="shared" ref="I89:N89" si="26">H89*I90</f>
        <v>2995.7999999999993</v>
      </c>
      <c r="J89" s="204">
        <f t="shared" si="26"/>
        <v>2995.7999999999993</v>
      </c>
      <c r="K89" s="204">
        <f t="shared" si="26"/>
        <v>2995.7999999999993</v>
      </c>
      <c r="L89" s="204">
        <f t="shared" si="26"/>
        <v>2995.7999999999993</v>
      </c>
      <c r="M89" s="204">
        <f t="shared" si="26"/>
        <v>2995.7999999999993</v>
      </c>
      <c r="N89" s="204">
        <f t="shared" si="26"/>
        <v>2995.7999999999993</v>
      </c>
      <c r="O89" s="233">
        <f>N89*O90</f>
        <v>2995.7999999999993</v>
      </c>
      <c r="P89" s="204">
        <f t="shared" ref="P89" si="27">O89*P90</f>
        <v>2995.7999999999993</v>
      </c>
      <c r="Q89" s="204">
        <f t="shared" ref="Q89" si="28">P89*Q90</f>
        <v>2995.7999999999993</v>
      </c>
      <c r="R89" s="204">
        <f t="shared" ref="R89" si="29">Q89*R90</f>
        <v>2995.7999999999993</v>
      </c>
      <c r="S89" s="204">
        <f t="shared" ref="S89" si="30">R89*S90</f>
        <v>2995.7999999999993</v>
      </c>
      <c r="T89" s="204">
        <f t="shared" ref="T89" si="31">S89*T90</f>
        <v>2995.7999999999993</v>
      </c>
      <c r="U89" s="72">
        <f t="shared" ref="U89" si="32">T89*U90</f>
        <v>2995.7999999999993</v>
      </c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156"/>
      <c r="AH89" s="157"/>
      <c r="AI89" s="157"/>
    </row>
    <row r="90" spans="1:35" x14ac:dyDescent="0.25">
      <c r="A90" s="14"/>
      <c r="B90" s="3"/>
      <c r="C90" s="197"/>
      <c r="D90" s="192"/>
      <c r="E90" s="234" t="e">
        <f>E89/D89</f>
        <v>#DIV/0!</v>
      </c>
      <c r="F90" s="234">
        <v>1</v>
      </c>
      <c r="G90" s="235">
        <v>1</v>
      </c>
      <c r="H90" s="235">
        <f t="shared" ref="H90:I90" si="33">G88</f>
        <v>1</v>
      </c>
      <c r="I90" s="235">
        <f t="shared" si="33"/>
        <v>1</v>
      </c>
      <c r="J90" s="235">
        <v>1</v>
      </c>
      <c r="K90" s="235">
        <v>1</v>
      </c>
      <c r="L90" s="235">
        <v>1</v>
      </c>
      <c r="M90" s="235">
        <v>1</v>
      </c>
      <c r="N90" s="235">
        <v>1</v>
      </c>
      <c r="O90" s="236">
        <v>1</v>
      </c>
      <c r="P90" s="235">
        <v>1</v>
      </c>
      <c r="Q90" s="235">
        <v>1</v>
      </c>
      <c r="R90" s="235">
        <v>1</v>
      </c>
      <c r="S90" s="235">
        <v>1</v>
      </c>
      <c r="T90" s="235">
        <v>1</v>
      </c>
      <c r="U90" s="73">
        <v>1</v>
      </c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</row>
    <row r="91" spans="1:35" s="39" customFormat="1" x14ac:dyDescent="0.25">
      <c r="A91" s="69" t="s">
        <v>95</v>
      </c>
      <c r="B91" s="68"/>
      <c r="C91" s="237"/>
      <c r="D91" s="193">
        <f t="shared" ref="D91:E91" si="34">D87+D89</f>
        <v>0</v>
      </c>
      <c r="E91" s="193">
        <f t="shared" si="34"/>
        <v>14687</v>
      </c>
      <c r="F91" s="193">
        <f>F87+F89</f>
        <v>14686.8</v>
      </c>
      <c r="G91" s="193">
        <f>G87+G89</f>
        <v>14686.8</v>
      </c>
      <c r="H91" s="193">
        <f t="shared" ref="H91:O91" si="35">H87+H89</f>
        <v>14686.8</v>
      </c>
      <c r="I91" s="193">
        <f t="shared" si="35"/>
        <v>14686.8</v>
      </c>
      <c r="J91" s="193">
        <f t="shared" si="35"/>
        <v>14686.8</v>
      </c>
      <c r="K91" s="193">
        <f t="shared" si="35"/>
        <v>14686.8</v>
      </c>
      <c r="L91" s="193">
        <f t="shared" si="35"/>
        <v>14686.8</v>
      </c>
      <c r="M91" s="193">
        <f t="shared" si="35"/>
        <v>14686.8</v>
      </c>
      <c r="N91" s="193">
        <f t="shared" si="35"/>
        <v>14686.8</v>
      </c>
      <c r="O91" s="238">
        <f t="shared" si="35"/>
        <v>14686.8</v>
      </c>
      <c r="P91" s="193">
        <f t="shared" ref="P91:U91" si="36">P87+P89</f>
        <v>14686.8</v>
      </c>
      <c r="Q91" s="193">
        <f t="shared" si="36"/>
        <v>14686.8</v>
      </c>
      <c r="R91" s="193">
        <f t="shared" si="36"/>
        <v>14686.8</v>
      </c>
      <c r="S91" s="193">
        <f t="shared" si="36"/>
        <v>14686.8</v>
      </c>
      <c r="T91" s="193">
        <f t="shared" si="36"/>
        <v>14686.8</v>
      </c>
      <c r="U91" s="68">
        <f t="shared" si="36"/>
        <v>14686.8</v>
      </c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60"/>
      <c r="AI91" s="160"/>
    </row>
    <row r="92" spans="1:35" x14ac:dyDescent="0.25">
      <c r="A92" s="20" t="s">
        <v>96</v>
      </c>
      <c r="B92" s="35"/>
      <c r="C92" s="197"/>
      <c r="D92" s="192"/>
      <c r="E92" s="234">
        <v>0</v>
      </c>
      <c r="F92" s="234">
        <v>1</v>
      </c>
      <c r="G92" s="234">
        <f t="shared" ref="G92:N92" si="37">G91/F91</f>
        <v>1</v>
      </c>
      <c r="H92" s="234">
        <f t="shared" si="37"/>
        <v>1</v>
      </c>
      <c r="I92" s="234">
        <f t="shared" si="37"/>
        <v>1</v>
      </c>
      <c r="J92" s="234">
        <f t="shared" si="37"/>
        <v>1</v>
      </c>
      <c r="K92" s="234">
        <f t="shared" si="37"/>
        <v>1</v>
      </c>
      <c r="L92" s="234">
        <f t="shared" si="37"/>
        <v>1</v>
      </c>
      <c r="M92" s="234">
        <f t="shared" si="37"/>
        <v>1</v>
      </c>
      <c r="N92" s="234">
        <f t="shared" si="37"/>
        <v>1</v>
      </c>
      <c r="O92" s="239">
        <f>O91/N91</f>
        <v>1</v>
      </c>
      <c r="P92" s="234">
        <f t="shared" ref="P92" si="38">P91/O91</f>
        <v>1</v>
      </c>
      <c r="Q92" s="234">
        <f t="shared" ref="Q92" si="39">Q91/P91</f>
        <v>1</v>
      </c>
      <c r="R92" s="234">
        <f t="shared" ref="R92" si="40">R91/Q91</f>
        <v>1</v>
      </c>
      <c r="S92" s="234">
        <f t="shared" ref="S92" si="41">S91/R91</f>
        <v>1</v>
      </c>
      <c r="T92" s="234">
        <f t="shared" ref="T92" si="42">T91/S91</f>
        <v>1</v>
      </c>
      <c r="U92" s="67">
        <f t="shared" ref="U92" si="43">U91/T91</f>
        <v>1</v>
      </c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</row>
    <row r="93" spans="1:35" x14ac:dyDescent="0.25">
      <c r="A93" s="34"/>
      <c r="C93" s="184"/>
      <c r="P93" s="240"/>
    </row>
    <row r="94" spans="1:35" x14ac:dyDescent="0.25">
      <c r="A94" s="34"/>
      <c r="C94" s="184"/>
      <c r="P94" s="240"/>
    </row>
    <row r="95" spans="1:35" x14ac:dyDescent="0.25">
      <c r="A95" s="35" t="s">
        <v>231</v>
      </c>
      <c r="B95" s="35"/>
      <c r="C95" s="192"/>
      <c r="D95" s="192"/>
      <c r="E95" s="192"/>
      <c r="F95" s="198">
        <f>F11</f>
        <v>0</v>
      </c>
      <c r="G95" s="198">
        <f>F95</f>
        <v>0</v>
      </c>
      <c r="H95" s="192"/>
      <c r="I95" s="192"/>
      <c r="J95" s="192"/>
      <c r="K95" s="192"/>
      <c r="L95" s="192"/>
      <c r="M95" s="192"/>
      <c r="N95" s="192"/>
      <c r="O95" s="231"/>
      <c r="P95" s="192"/>
      <c r="Q95" s="185"/>
      <c r="R95" s="185"/>
      <c r="S95" s="185"/>
      <c r="T95" s="185"/>
      <c r="U95" s="154"/>
      <c r="V95" s="154"/>
    </row>
    <row r="96" spans="1:35" x14ac:dyDescent="0.25">
      <c r="A96" s="2" t="s">
        <v>148</v>
      </c>
      <c r="B96" s="35"/>
      <c r="C96" s="192"/>
      <c r="D96" s="192"/>
      <c r="E96" s="192"/>
      <c r="F96" s="235">
        <f>F14</f>
        <v>0.11415905184112911</v>
      </c>
      <c r="G96" s="235">
        <f>F96</f>
        <v>0.11415905184112911</v>
      </c>
      <c r="H96" s="235">
        <f>G96*0.96</f>
        <v>0.10959268976748394</v>
      </c>
      <c r="I96" s="235">
        <f>H96</f>
        <v>0.10959268976748394</v>
      </c>
      <c r="J96" s="235">
        <f t="shared" ref="J96:P96" si="44">I96</f>
        <v>0.10959268976748394</v>
      </c>
      <c r="K96" s="235">
        <f t="shared" si="44"/>
        <v>0.10959268976748394</v>
      </c>
      <c r="L96" s="235">
        <f t="shared" si="44"/>
        <v>0.10959268976748394</v>
      </c>
      <c r="M96" s="235">
        <f t="shared" si="44"/>
        <v>0.10959268976748394</v>
      </c>
      <c r="N96" s="235">
        <f t="shared" si="44"/>
        <v>0.10959268976748394</v>
      </c>
      <c r="O96" s="236">
        <f t="shared" si="44"/>
        <v>0.10959268976748394</v>
      </c>
      <c r="P96" s="235">
        <f t="shared" si="44"/>
        <v>0.10959268976748394</v>
      </c>
      <c r="Q96" s="235">
        <f t="shared" ref="Q96" si="45">P96</f>
        <v>0.10959268976748394</v>
      </c>
      <c r="R96" s="235">
        <f t="shared" ref="R96" si="46">Q96</f>
        <v>0.10959268976748394</v>
      </c>
      <c r="S96" s="235">
        <f t="shared" ref="S96" si="47">R96</f>
        <v>0.10959268976748394</v>
      </c>
      <c r="T96" s="235">
        <f t="shared" ref="T96" si="48">S96</f>
        <v>0.10959268976748394</v>
      </c>
      <c r="U96" s="73">
        <f t="shared" ref="U96" si="49">T96</f>
        <v>0.10959268976748394</v>
      </c>
      <c r="V96" s="158"/>
    </row>
    <row r="97" spans="1:35" x14ac:dyDescent="0.25">
      <c r="A97" s="35" t="s">
        <v>221</v>
      </c>
      <c r="B97" s="35" t="s">
        <v>171</v>
      </c>
      <c r="C97" s="192"/>
      <c r="D97" s="192"/>
      <c r="E97" s="192"/>
      <c r="F97" s="198">
        <v>3014.59</v>
      </c>
      <c r="G97" s="198">
        <v>3014.59</v>
      </c>
      <c r="H97" s="198">
        <v>3014.59</v>
      </c>
      <c r="I97" s="198">
        <v>3014.59</v>
      </c>
      <c r="J97" s="198">
        <v>3014.59</v>
      </c>
      <c r="K97" s="198">
        <v>3014.59</v>
      </c>
      <c r="L97" s="198">
        <v>3014.59</v>
      </c>
      <c r="M97" s="198">
        <v>3014.59</v>
      </c>
      <c r="N97" s="198">
        <v>3014.59</v>
      </c>
      <c r="O97" s="198">
        <v>3014.59</v>
      </c>
      <c r="P97" s="198">
        <v>3014.59</v>
      </c>
      <c r="Q97" s="198">
        <v>3014.59</v>
      </c>
      <c r="R97" s="198">
        <v>3014.59</v>
      </c>
      <c r="S97" s="198">
        <v>3014.59</v>
      </c>
      <c r="T97" s="198">
        <v>3014.59</v>
      </c>
      <c r="U97" s="144">
        <v>3014.59</v>
      </c>
      <c r="V97" s="162"/>
      <c r="W97" s="154"/>
      <c r="X97" s="154"/>
      <c r="Y97" s="154"/>
      <c r="Z97" s="154"/>
      <c r="AA97" s="154"/>
      <c r="AB97" s="154"/>
      <c r="AC97" s="154"/>
    </row>
    <row r="98" spans="1:35" x14ac:dyDescent="0.25">
      <c r="A98" s="35" t="s">
        <v>222</v>
      </c>
      <c r="B98" s="35" t="s">
        <v>170</v>
      </c>
      <c r="C98" s="192"/>
      <c r="D98" s="192"/>
      <c r="E98" s="192"/>
      <c r="F98" s="198">
        <f>F39</f>
        <v>0</v>
      </c>
      <c r="G98" s="192"/>
      <c r="H98" s="192"/>
      <c r="I98" s="192"/>
      <c r="J98" s="192"/>
      <c r="K98" s="192"/>
      <c r="L98" s="192"/>
      <c r="M98" s="192"/>
      <c r="N98" s="192"/>
      <c r="O98" s="231"/>
      <c r="P98" s="192"/>
      <c r="Q98" s="185"/>
      <c r="R98" s="185"/>
      <c r="S98" s="185"/>
      <c r="T98" s="185"/>
      <c r="U98" s="154"/>
      <c r="V98" s="154"/>
      <c r="W98" s="154"/>
      <c r="X98" s="154"/>
      <c r="Y98" s="154"/>
      <c r="Z98" s="154"/>
      <c r="AA98" s="154"/>
      <c r="AB98" s="154"/>
      <c r="AC98" s="154"/>
    </row>
    <row r="99" spans="1:35" x14ac:dyDescent="0.25">
      <c r="A99" s="35" t="s">
        <v>223</v>
      </c>
      <c r="B99" s="35" t="s">
        <v>170</v>
      </c>
      <c r="C99" s="192"/>
      <c r="D99" s="192"/>
      <c r="E99" s="192"/>
      <c r="F99" s="192">
        <f>F45</f>
        <v>0</v>
      </c>
      <c r="G99" s="192">
        <v>0</v>
      </c>
      <c r="H99" s="192">
        <v>0</v>
      </c>
      <c r="I99" s="192">
        <v>0</v>
      </c>
      <c r="J99" s="192">
        <v>0</v>
      </c>
      <c r="K99" s="192">
        <v>0</v>
      </c>
      <c r="L99" s="192">
        <v>0</v>
      </c>
      <c r="M99" s="192">
        <v>0</v>
      </c>
      <c r="N99" s="192">
        <v>0</v>
      </c>
      <c r="O99" s="231">
        <v>0</v>
      </c>
      <c r="P99" s="192">
        <v>0</v>
      </c>
      <c r="Q99" s="192">
        <v>0</v>
      </c>
      <c r="R99" s="192">
        <v>0</v>
      </c>
      <c r="S99" s="192">
        <v>0</v>
      </c>
      <c r="T99" s="192">
        <v>0</v>
      </c>
      <c r="U99" s="35">
        <v>0</v>
      </c>
      <c r="V99" s="154"/>
      <c r="W99" s="154"/>
      <c r="X99" s="154"/>
      <c r="Y99" s="154"/>
      <c r="Z99" s="154"/>
      <c r="AA99" s="154"/>
      <c r="AB99" s="154"/>
      <c r="AC99" s="154"/>
    </row>
    <row r="100" spans="1:35" x14ac:dyDescent="0.25">
      <c r="A100" s="35" t="s">
        <v>224</v>
      </c>
      <c r="B100" s="35" t="s">
        <v>170</v>
      </c>
      <c r="C100" s="192"/>
      <c r="D100" s="192"/>
      <c r="E100" s="192"/>
      <c r="F100" s="192">
        <f>F51</f>
        <v>0</v>
      </c>
      <c r="G100" s="192"/>
      <c r="H100" s="192"/>
      <c r="I100" s="192"/>
      <c r="J100" s="192"/>
      <c r="K100" s="192"/>
      <c r="L100" s="192"/>
      <c r="M100" s="192"/>
      <c r="N100" s="192"/>
      <c r="O100" s="231"/>
      <c r="P100" s="192"/>
      <c r="Q100" s="185"/>
      <c r="R100" s="185"/>
      <c r="S100" s="185"/>
      <c r="T100" s="185"/>
      <c r="U100" s="154"/>
      <c r="V100" s="154"/>
      <c r="W100" s="154"/>
      <c r="X100" s="154"/>
      <c r="Y100" s="154"/>
      <c r="Z100" s="154"/>
      <c r="AA100" s="154"/>
      <c r="AB100" s="154"/>
      <c r="AC100" s="154"/>
    </row>
    <row r="101" spans="1:35" x14ac:dyDescent="0.25">
      <c r="A101" s="17" t="s">
        <v>31</v>
      </c>
      <c r="B101" s="1" t="s">
        <v>225</v>
      </c>
      <c r="C101" s="221"/>
      <c r="D101" s="221"/>
      <c r="E101" s="221"/>
      <c r="F101" s="241">
        <f>F57</f>
        <v>14.801411381525378</v>
      </c>
      <c r="G101" s="241">
        <f>F101</f>
        <v>14.801411381525378</v>
      </c>
      <c r="H101" s="241">
        <f t="shared" ref="H101:P101" si="50">G101</f>
        <v>14.801411381525378</v>
      </c>
      <c r="I101" s="241">
        <f t="shared" si="50"/>
        <v>14.801411381525378</v>
      </c>
      <c r="J101" s="241">
        <f t="shared" si="50"/>
        <v>14.801411381525378</v>
      </c>
      <c r="K101" s="241">
        <f t="shared" si="50"/>
        <v>14.801411381525378</v>
      </c>
      <c r="L101" s="241">
        <f t="shared" si="50"/>
        <v>14.801411381525378</v>
      </c>
      <c r="M101" s="241">
        <f t="shared" si="50"/>
        <v>14.801411381525378</v>
      </c>
      <c r="N101" s="241">
        <f t="shared" si="50"/>
        <v>14.801411381525378</v>
      </c>
      <c r="O101" s="241">
        <f t="shared" si="50"/>
        <v>14.801411381525378</v>
      </c>
      <c r="P101" s="241">
        <f t="shared" si="50"/>
        <v>14.801411381525378</v>
      </c>
      <c r="Q101" s="241">
        <f t="shared" ref="Q101:Q102" si="51">P101</f>
        <v>14.801411381525378</v>
      </c>
      <c r="R101" s="241">
        <f t="shared" ref="R101:R102" si="52">Q101</f>
        <v>14.801411381525378</v>
      </c>
      <c r="S101" s="241">
        <f t="shared" ref="S101:S102" si="53">R101</f>
        <v>14.801411381525378</v>
      </c>
      <c r="T101" s="241">
        <f t="shared" ref="T101:T102" si="54">S101</f>
        <v>14.801411381525378</v>
      </c>
      <c r="U101" s="46">
        <f t="shared" ref="U101:U102" si="55">T101</f>
        <v>14.801411381525378</v>
      </c>
      <c r="V101" s="163"/>
      <c r="W101" s="163"/>
      <c r="X101" s="163"/>
      <c r="Y101" s="163"/>
      <c r="Z101" s="163"/>
      <c r="AA101" s="163"/>
      <c r="AB101" s="163"/>
      <c r="AC101" s="163"/>
    </row>
    <row r="102" spans="1:35" x14ac:dyDescent="0.25">
      <c r="A102" s="17" t="s">
        <v>226</v>
      </c>
      <c r="B102" s="1"/>
      <c r="C102" s="221"/>
      <c r="D102" s="221"/>
      <c r="E102" s="221"/>
      <c r="F102" s="241">
        <f>F61</f>
        <v>6.5201604390964745</v>
      </c>
      <c r="G102" s="241">
        <f>F102</f>
        <v>6.5201604390964745</v>
      </c>
      <c r="H102" s="241">
        <f t="shared" ref="H102:P102" si="56">G102</f>
        <v>6.5201604390964745</v>
      </c>
      <c r="I102" s="241">
        <f t="shared" si="56"/>
        <v>6.5201604390964745</v>
      </c>
      <c r="J102" s="241">
        <f t="shared" si="56"/>
        <v>6.5201604390964745</v>
      </c>
      <c r="K102" s="241">
        <f t="shared" si="56"/>
        <v>6.5201604390964745</v>
      </c>
      <c r="L102" s="241">
        <f t="shared" si="56"/>
        <v>6.5201604390964745</v>
      </c>
      <c r="M102" s="241">
        <f t="shared" si="56"/>
        <v>6.5201604390964745</v>
      </c>
      <c r="N102" s="241">
        <f t="shared" si="56"/>
        <v>6.5201604390964745</v>
      </c>
      <c r="O102" s="241">
        <f t="shared" si="56"/>
        <v>6.5201604390964745</v>
      </c>
      <c r="P102" s="241">
        <f t="shared" si="56"/>
        <v>6.5201604390964745</v>
      </c>
      <c r="Q102" s="241">
        <f t="shared" si="51"/>
        <v>6.5201604390964745</v>
      </c>
      <c r="R102" s="241">
        <f t="shared" si="52"/>
        <v>6.5201604390964745</v>
      </c>
      <c r="S102" s="241">
        <f t="shared" si="53"/>
        <v>6.5201604390964745</v>
      </c>
      <c r="T102" s="241">
        <f t="shared" si="54"/>
        <v>6.5201604390964745</v>
      </c>
      <c r="U102" s="46">
        <f t="shared" si="55"/>
        <v>6.5201604390964745</v>
      </c>
      <c r="V102" s="163"/>
      <c r="W102" s="163"/>
      <c r="X102" s="163"/>
      <c r="Y102" s="163"/>
      <c r="Z102" s="163"/>
      <c r="AA102" s="163"/>
      <c r="AB102" s="163"/>
      <c r="AC102" s="163"/>
    </row>
    <row r="103" spans="1:35" x14ac:dyDescent="0.25">
      <c r="A103" s="34"/>
      <c r="C103" s="184"/>
    </row>
    <row r="104" spans="1:35" ht="15.75" x14ac:dyDescent="0.25">
      <c r="A104" s="98" t="s">
        <v>68</v>
      </c>
      <c r="B104" s="35">
        <f>G86</f>
        <v>2016</v>
      </c>
      <c r="C104" s="192">
        <f t="shared" ref="C104:K104" si="57">H86</f>
        <v>2017</v>
      </c>
      <c r="D104" s="192">
        <f t="shared" si="57"/>
        <v>2018</v>
      </c>
      <c r="E104" s="192">
        <f t="shared" si="57"/>
        <v>2019</v>
      </c>
      <c r="F104" s="192">
        <f t="shared" si="57"/>
        <v>2020</v>
      </c>
      <c r="G104" s="192">
        <f t="shared" si="57"/>
        <v>2021</v>
      </c>
      <c r="H104" s="192">
        <f t="shared" si="57"/>
        <v>2022</v>
      </c>
      <c r="I104" s="192">
        <f t="shared" si="57"/>
        <v>2023</v>
      </c>
      <c r="J104" s="192">
        <f t="shared" si="57"/>
        <v>2024</v>
      </c>
      <c r="K104" s="192">
        <f t="shared" si="57"/>
        <v>2025</v>
      </c>
      <c r="L104" s="192">
        <f t="shared" ref="L104" si="58">Q86</f>
        <v>2026</v>
      </c>
      <c r="M104" s="192">
        <f t="shared" ref="M104" si="59">R86</f>
        <v>2027</v>
      </c>
      <c r="N104" s="192">
        <f t="shared" ref="N104" si="60">S86</f>
        <v>2028</v>
      </c>
      <c r="O104" s="192">
        <f t="shared" ref="O104" si="61">T86</f>
        <v>2029</v>
      </c>
      <c r="P104" s="192">
        <f t="shared" ref="P104" si="62">U86</f>
        <v>2030</v>
      </c>
    </row>
    <row r="105" spans="1:35" s="53" customFormat="1" x14ac:dyDescent="0.25">
      <c r="A105" s="95" t="s">
        <v>107</v>
      </c>
      <c r="B105" s="114">
        <f>F77</f>
        <v>1203.5</v>
      </c>
      <c r="C105" s="242">
        <v>1500</v>
      </c>
      <c r="D105" s="242">
        <v>1600</v>
      </c>
      <c r="E105" s="242">
        <v>1650</v>
      </c>
      <c r="F105" s="242">
        <v>1550</v>
      </c>
      <c r="G105" s="242">
        <v>1500</v>
      </c>
      <c r="H105" s="242">
        <v>1500</v>
      </c>
      <c r="I105" s="242">
        <v>1500</v>
      </c>
      <c r="J105" s="242">
        <v>1500</v>
      </c>
      <c r="K105" s="242">
        <v>1500</v>
      </c>
      <c r="L105" s="242">
        <v>1500</v>
      </c>
      <c r="M105" s="242">
        <v>1500</v>
      </c>
      <c r="N105" s="242">
        <v>1500</v>
      </c>
      <c r="O105" s="242">
        <v>1500</v>
      </c>
      <c r="P105" s="242">
        <v>1500</v>
      </c>
      <c r="Q105" s="243"/>
      <c r="R105" s="243"/>
      <c r="S105" s="243"/>
      <c r="T105" s="243"/>
      <c r="U105" s="157"/>
      <c r="V105" s="157"/>
      <c r="W105" s="157"/>
      <c r="X105" s="157"/>
      <c r="Y105" s="157"/>
      <c r="Z105" s="157"/>
      <c r="AA105" s="157"/>
      <c r="AB105" s="157"/>
      <c r="AC105" s="157"/>
      <c r="AD105" s="157"/>
      <c r="AE105" s="157"/>
      <c r="AF105" s="157"/>
      <c r="AG105" s="157"/>
      <c r="AH105" s="157"/>
      <c r="AI105" s="157"/>
    </row>
    <row r="106" spans="1:35" x14ac:dyDescent="0.25">
      <c r="A106" s="94" t="s">
        <v>69</v>
      </c>
      <c r="B106" s="115">
        <v>0</v>
      </c>
      <c r="C106" s="244">
        <v>0.05</v>
      </c>
      <c r="D106" s="244">
        <v>0.05</v>
      </c>
      <c r="E106" s="244">
        <v>0.05</v>
      </c>
      <c r="F106" s="244">
        <v>0.05</v>
      </c>
      <c r="G106" s="244">
        <v>0.05</v>
      </c>
      <c r="H106" s="244">
        <v>0.05</v>
      </c>
      <c r="I106" s="244">
        <v>0.05</v>
      </c>
      <c r="J106" s="244">
        <v>0.05</v>
      </c>
      <c r="K106" s="244">
        <v>0.05</v>
      </c>
      <c r="L106" s="244">
        <v>0.05</v>
      </c>
      <c r="M106" s="244">
        <v>0.05</v>
      </c>
      <c r="N106" s="244">
        <v>0.05</v>
      </c>
      <c r="O106" s="244">
        <v>0.05</v>
      </c>
      <c r="P106" s="244">
        <v>0.05</v>
      </c>
      <c r="Q106" s="245"/>
    </row>
    <row r="107" spans="1:35" x14ac:dyDescent="0.25">
      <c r="A107" s="94" t="s">
        <v>108</v>
      </c>
      <c r="B107" s="36">
        <f>'Расчет тарифа тепло'!E82</f>
        <v>1.0293096583132171</v>
      </c>
      <c r="C107" s="194">
        <f>'Расчет тарифа тепло'!F82</f>
        <v>1.1633462193276565</v>
      </c>
      <c r="D107" s="194">
        <f>'Расчет тарифа тепло'!G82</f>
        <v>1.0606698801370618</v>
      </c>
      <c r="E107" s="194">
        <f>'Расчет тарифа тепло'!H82</f>
        <v>1.0117248811524691</v>
      </c>
      <c r="F107" s="194">
        <f>'Расчет тарифа тепло'!I82</f>
        <v>1.0059536593869705</v>
      </c>
      <c r="G107" s="194">
        <f>'Расчет тарифа тепло'!J82</f>
        <v>1.008259922397982</v>
      </c>
      <c r="H107" s="194">
        <f>'Расчет тарифа тепло'!K82</f>
        <v>1.010706287551542</v>
      </c>
      <c r="I107" s="194">
        <f>'Расчет тарифа тепло'!L82</f>
        <v>1.0111125853497254</v>
      </c>
      <c r="J107" s="194">
        <f>'Расчет тарифа тепло'!M82</f>
        <v>1.0114363135857583</v>
      </c>
      <c r="K107" s="194">
        <f>'Расчет тарифа тепло'!N82</f>
        <v>1.0190547195428126</v>
      </c>
      <c r="L107" s="194">
        <f>'Расчет тарифа тепло'!O82</f>
        <v>0.80525816850642329</v>
      </c>
      <c r="M107" s="194">
        <f>'Расчет тарифа тепло'!P82</f>
        <v>1.0149962115941857</v>
      </c>
      <c r="N107" s="194">
        <f>'Расчет тарифа тепло'!Q82</f>
        <v>1.0155516438200112</v>
      </c>
      <c r="O107" s="194">
        <f>'Расчет тарифа тепло'!R82</f>
        <v>1.014960848631538</v>
      </c>
      <c r="P107" s="194">
        <f>'Расчет тарифа тепло'!S82</f>
        <v>1.015007458209386</v>
      </c>
    </row>
    <row r="108" spans="1:35" x14ac:dyDescent="0.25">
      <c r="A108" s="35" t="s">
        <v>111</v>
      </c>
      <c r="B108" s="121">
        <f>'Расчет тарифа тепло'!E83</f>
        <v>1.1182287003741187</v>
      </c>
      <c r="C108" s="246">
        <f>'Расчет тарифа тепло'!F83</f>
        <v>1.1171199494988502</v>
      </c>
      <c r="D108" s="246">
        <f>'Расчет тарифа тепло'!G83</f>
        <v>0.9729530750994736</v>
      </c>
      <c r="E108" s="246">
        <f>'Расчет тарифа тепло'!H83</f>
        <v>0.96172858403320993</v>
      </c>
      <c r="F108" s="246">
        <f>'Расчет тарифа тепло'!I83</f>
        <v>0.99945198835385096</v>
      </c>
      <c r="G108" s="246">
        <f>'Расчет тарифа тепло'!J83</f>
        <v>1.0108899878509467</v>
      </c>
      <c r="H108" s="246">
        <f>'Расчет тарифа тепло'!K83</f>
        <v>1.0134825024762566</v>
      </c>
      <c r="I108" s="246">
        <f>'Расчет тарифа тепло'!L83</f>
        <v>1.0115712893430846</v>
      </c>
      <c r="J108" s="246">
        <f>'Расчет тарифа тепло'!M83</f>
        <v>1.0118014852795114</v>
      </c>
      <c r="K108" s="246">
        <f>'Расчет тарифа тепло'!N83</f>
        <v>1.0276425772398354</v>
      </c>
      <c r="L108" s="246">
        <f>'Расчет тарифа тепло'!O83</f>
        <v>0.56805642557524727</v>
      </c>
      <c r="M108" s="246">
        <f>'Расчет тарифа тепло'!P83</f>
        <v>1.4324423236058486</v>
      </c>
      <c r="N108" s="246">
        <f>'Расчет тарифа тепло'!Q83</f>
        <v>1.0161731025270095</v>
      </c>
      <c r="O108" s="246">
        <f>'Расчет тарифа тепло'!R83</f>
        <v>1.0143005887962289</v>
      </c>
      <c r="P108" s="246">
        <f>'Расчет тарифа тепло'!S83</f>
        <v>1.0150596123069238</v>
      </c>
    </row>
    <row r="109" spans="1:35" x14ac:dyDescent="0.25">
      <c r="A109" s="154"/>
      <c r="B109" s="179"/>
      <c r="C109" s="247"/>
      <c r="D109" s="247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</row>
    <row r="110" spans="1:35" x14ac:dyDescent="0.25">
      <c r="A110" s="154"/>
      <c r="B110" s="179"/>
      <c r="C110" s="247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</row>
    <row r="111" spans="1:35" x14ac:dyDescent="0.25">
      <c r="A111" s="34"/>
      <c r="C111" s="184"/>
    </row>
    <row r="112" spans="1:35" x14ac:dyDescent="0.25">
      <c r="A112" s="34"/>
      <c r="C112" s="184"/>
    </row>
    <row r="113" spans="1:12" x14ac:dyDescent="0.25">
      <c r="A113" s="20"/>
      <c r="B113" s="132">
        <v>2016</v>
      </c>
      <c r="C113" s="248">
        <v>2017</v>
      </c>
      <c r="D113" s="189"/>
      <c r="E113" s="189"/>
      <c r="F113" s="189"/>
      <c r="G113" s="189"/>
      <c r="H113" s="189"/>
      <c r="I113" s="189"/>
      <c r="J113" s="189"/>
      <c r="K113" s="189"/>
      <c r="L113" s="189"/>
    </row>
    <row r="114" spans="1:12" x14ac:dyDescent="0.25">
      <c r="A114" s="84" t="s">
        <v>103</v>
      </c>
      <c r="B114" s="87">
        <f>B115+B117+B116</f>
        <v>50000</v>
      </c>
      <c r="C114" s="249">
        <f>C115+C117</f>
        <v>0</v>
      </c>
      <c r="D114" s="189"/>
      <c r="E114" s="189"/>
      <c r="F114" s="189"/>
      <c r="G114" s="189"/>
      <c r="H114" s="189"/>
      <c r="I114" s="189"/>
      <c r="J114" s="189"/>
      <c r="K114" s="189"/>
      <c r="L114" s="189"/>
    </row>
    <row r="115" spans="1:12" x14ac:dyDescent="0.25">
      <c r="A115" s="20" t="s">
        <v>100</v>
      </c>
      <c r="B115" s="88">
        <v>30000</v>
      </c>
      <c r="C115" s="250">
        <v>0</v>
      </c>
      <c r="D115" s="189"/>
      <c r="E115" s="189"/>
      <c r="F115" s="189"/>
      <c r="G115" s="189"/>
      <c r="H115" s="189"/>
      <c r="I115" s="189"/>
      <c r="J115" s="189"/>
      <c r="K115" s="189"/>
      <c r="L115" s="189"/>
    </row>
    <row r="116" spans="1:12" x14ac:dyDescent="0.25">
      <c r="A116" s="20" t="s">
        <v>101</v>
      </c>
      <c r="B116" s="88">
        <v>10000</v>
      </c>
      <c r="C116" s="250">
        <v>0</v>
      </c>
      <c r="D116" s="189"/>
      <c r="E116" s="189"/>
      <c r="F116" s="189"/>
      <c r="G116" s="189"/>
      <c r="H116" s="189"/>
      <c r="I116" s="189"/>
      <c r="J116" s="189"/>
      <c r="K116" s="189"/>
      <c r="L116" s="189"/>
    </row>
    <row r="117" spans="1:12" x14ac:dyDescent="0.25">
      <c r="A117" s="86" t="s">
        <v>102</v>
      </c>
      <c r="B117" s="89">
        <v>10000</v>
      </c>
      <c r="C117" s="251">
        <f>SUM(C118:C119)</f>
        <v>0</v>
      </c>
      <c r="D117" s="189"/>
      <c r="E117" s="189"/>
      <c r="F117" s="189"/>
      <c r="G117" s="189"/>
      <c r="H117" s="189"/>
      <c r="I117" s="189"/>
      <c r="J117" s="189"/>
      <c r="K117" s="189"/>
      <c r="L117" s="189"/>
    </row>
    <row r="118" spans="1:12" x14ac:dyDescent="0.25">
      <c r="A118" s="20" t="s">
        <v>81</v>
      </c>
      <c r="B118" s="88">
        <v>10000</v>
      </c>
      <c r="C118" s="250">
        <v>0</v>
      </c>
      <c r="D118" s="189"/>
      <c r="E118" s="189"/>
      <c r="F118" s="189"/>
      <c r="G118" s="189"/>
      <c r="H118" s="189"/>
      <c r="I118" s="189"/>
      <c r="J118" s="189"/>
      <c r="K118" s="189"/>
      <c r="L118" s="189"/>
    </row>
    <row r="119" spans="1:12" x14ac:dyDescent="0.25">
      <c r="A119" s="20" t="s">
        <v>106</v>
      </c>
      <c r="B119" s="88">
        <v>0</v>
      </c>
      <c r="C119" s="250">
        <v>0</v>
      </c>
      <c r="D119" s="189"/>
      <c r="E119" s="189"/>
      <c r="F119" s="189"/>
      <c r="G119" s="189"/>
      <c r="H119" s="189"/>
      <c r="I119" s="189"/>
      <c r="J119" s="189"/>
      <c r="K119" s="189"/>
      <c r="L119" s="189"/>
    </row>
    <row r="120" spans="1:12" x14ac:dyDescent="0.25">
      <c r="C120" s="184"/>
      <c r="D120" s="189"/>
      <c r="E120" s="189"/>
      <c r="F120" s="189"/>
      <c r="G120" s="189"/>
      <c r="H120" s="189"/>
      <c r="I120" s="189"/>
      <c r="J120" s="189"/>
      <c r="K120" s="189"/>
      <c r="L120" s="189"/>
    </row>
    <row r="121" spans="1:12" x14ac:dyDescent="0.25">
      <c r="C121" s="184"/>
      <c r="D121" s="189"/>
      <c r="E121" s="189"/>
      <c r="F121" s="189"/>
      <c r="G121" s="189"/>
      <c r="H121" s="189"/>
      <c r="I121" s="189"/>
      <c r="J121" s="189"/>
      <c r="K121" s="189"/>
      <c r="L121" s="189"/>
    </row>
    <row r="122" spans="1:12" x14ac:dyDescent="0.25">
      <c r="A122" s="20"/>
      <c r="B122" s="132">
        <v>2016</v>
      </c>
      <c r="C122" s="248">
        <v>2017</v>
      </c>
      <c r="D122" s="189"/>
      <c r="E122" s="189"/>
      <c r="F122" s="189"/>
      <c r="G122" s="189"/>
      <c r="H122" s="189"/>
      <c r="I122" s="189"/>
      <c r="J122" s="189"/>
      <c r="K122" s="189"/>
      <c r="L122" s="189"/>
    </row>
    <row r="123" spans="1:12" x14ac:dyDescent="0.25">
      <c r="A123" s="84" t="str">
        <f t="shared" ref="A123:A128" si="63">A114</f>
        <v>Инвестиции всего</v>
      </c>
      <c r="B123" s="90">
        <f>B124+B126+B125</f>
        <v>1</v>
      </c>
      <c r="C123" s="252">
        <f>C124+C126+C125</f>
        <v>0</v>
      </c>
      <c r="D123" s="189"/>
      <c r="E123" s="189"/>
      <c r="F123" s="189"/>
      <c r="G123" s="189"/>
      <c r="H123" s="189"/>
      <c r="I123" s="189"/>
      <c r="J123" s="189"/>
      <c r="K123" s="189"/>
      <c r="L123" s="189"/>
    </row>
    <row r="124" spans="1:12" x14ac:dyDescent="0.25">
      <c r="A124" s="20" t="str">
        <f t="shared" si="63"/>
        <v>Фонд ЖКХ</v>
      </c>
      <c r="B124" s="91">
        <f>IF(B115=0,0,B115/B114)</f>
        <v>0.6</v>
      </c>
      <c r="C124" s="253">
        <f>IF(C115=0,0,C115/C114)</f>
        <v>0</v>
      </c>
      <c r="D124" s="254"/>
      <c r="E124" s="189"/>
      <c r="F124" s="189"/>
      <c r="G124" s="189"/>
      <c r="H124" s="189"/>
      <c r="I124" s="189"/>
      <c r="J124" s="189"/>
      <c r="K124" s="189"/>
      <c r="L124" s="189"/>
    </row>
    <row r="125" spans="1:12" x14ac:dyDescent="0.25">
      <c r="A125" s="20" t="str">
        <f t="shared" si="63"/>
        <v>Региональный и местный бюджет</v>
      </c>
      <c r="B125" s="91">
        <f>IF(B116=0,0,B116/B114)</f>
        <v>0.2</v>
      </c>
      <c r="C125" s="253">
        <f>IF(C116=0,0,C116/C114)</f>
        <v>0</v>
      </c>
      <c r="D125" s="254"/>
      <c r="E125" s="189"/>
      <c r="F125" s="189"/>
      <c r="G125" s="189"/>
      <c r="H125" s="189"/>
      <c r="I125" s="189"/>
      <c r="J125" s="189"/>
      <c r="K125" s="189"/>
      <c r="L125" s="189"/>
    </row>
    <row r="126" spans="1:12" x14ac:dyDescent="0.25">
      <c r="A126" s="86" t="str">
        <f t="shared" si="63"/>
        <v>Средства концессионера в т.ч.:</v>
      </c>
      <c r="B126" s="92">
        <f>SUM(B127:B128)</f>
        <v>0.2</v>
      </c>
      <c r="C126" s="255">
        <f>SUM(C127:C128)</f>
        <v>0</v>
      </c>
      <c r="D126" s="254"/>
      <c r="E126" s="189"/>
      <c r="F126" s="189"/>
      <c r="G126" s="189"/>
      <c r="H126" s="189"/>
      <c r="I126" s="189"/>
      <c r="J126" s="189"/>
      <c r="K126" s="189"/>
      <c r="L126" s="189"/>
    </row>
    <row r="127" spans="1:12" x14ac:dyDescent="0.25">
      <c r="A127" s="20" t="str">
        <f t="shared" si="63"/>
        <v>Собственные средства</v>
      </c>
      <c r="B127" s="91">
        <f>IF(B118=0,0,B118/B114)</f>
        <v>0.2</v>
      </c>
      <c r="C127" s="253">
        <f>IF(C118=0,0,C118/C114)</f>
        <v>0</v>
      </c>
      <c r="D127" s="254"/>
      <c r="E127" s="189"/>
      <c r="F127" s="189"/>
      <c r="G127" s="189"/>
      <c r="H127" s="189"/>
      <c r="I127" s="189"/>
      <c r="J127" s="189"/>
      <c r="K127" s="189"/>
      <c r="L127" s="189"/>
    </row>
    <row r="128" spans="1:12" x14ac:dyDescent="0.25">
      <c r="A128" s="20" t="str">
        <f t="shared" si="63"/>
        <v>Привлеченные средства (кредит)</v>
      </c>
      <c r="B128" s="91">
        <f>IF(B119=0,0,B119/B114)</f>
        <v>0</v>
      </c>
      <c r="C128" s="253">
        <f>IF(C119=0,0,C119/C114)</f>
        <v>0</v>
      </c>
      <c r="D128" s="254"/>
      <c r="E128" s="189"/>
      <c r="F128" s="189"/>
      <c r="G128" s="189"/>
      <c r="H128" s="189"/>
      <c r="I128" s="189"/>
      <c r="J128" s="189"/>
      <c r="K128" s="189"/>
      <c r="L128" s="189"/>
    </row>
    <row r="129" spans="1:17" x14ac:dyDescent="0.25">
      <c r="C129" s="189"/>
      <c r="D129" s="189"/>
      <c r="E129" s="189"/>
      <c r="F129" s="189"/>
      <c r="G129" s="189"/>
      <c r="H129" s="189"/>
      <c r="I129" s="189"/>
      <c r="J129" s="189"/>
      <c r="K129" s="189"/>
      <c r="L129" s="189"/>
    </row>
    <row r="130" spans="1:17" x14ac:dyDescent="0.25">
      <c r="C130" s="189"/>
      <c r="D130" s="189"/>
      <c r="E130" s="189"/>
      <c r="F130" s="189"/>
      <c r="G130" s="189"/>
      <c r="H130" s="189"/>
      <c r="I130" s="189"/>
      <c r="J130" s="189"/>
      <c r="K130" s="189"/>
      <c r="L130" s="189"/>
    </row>
    <row r="131" spans="1:17" x14ac:dyDescent="0.25">
      <c r="A131" s="20"/>
      <c r="B131" s="35" t="s">
        <v>73</v>
      </c>
      <c r="C131" s="240" t="s">
        <v>104</v>
      </c>
      <c r="D131" s="189"/>
      <c r="E131" s="189"/>
      <c r="F131" s="189"/>
      <c r="G131" s="189"/>
      <c r="H131" s="189"/>
      <c r="I131" s="189"/>
      <c r="J131" s="189"/>
      <c r="K131" s="189"/>
      <c r="L131" s="189"/>
    </row>
    <row r="132" spans="1:17" x14ac:dyDescent="0.25">
      <c r="A132" s="20" t="str">
        <f>A124</f>
        <v>Фонд ЖКХ</v>
      </c>
      <c r="B132" s="73">
        <f>B134</f>
        <v>5.5E-2</v>
      </c>
      <c r="C132" s="253">
        <f>SUM(B115:C115)/SUM(B114:C114)</f>
        <v>0.6</v>
      </c>
      <c r="D132" s="189"/>
      <c r="E132" s="189"/>
      <c r="F132" s="189"/>
      <c r="G132" s="189"/>
      <c r="H132" s="189"/>
      <c r="I132" s="189"/>
      <c r="J132" s="189"/>
      <c r="K132" s="189"/>
      <c r="L132" s="189"/>
    </row>
    <row r="133" spans="1:17" x14ac:dyDescent="0.25">
      <c r="A133" s="20" t="str">
        <f>A125</f>
        <v>Региональный и местный бюджет</v>
      </c>
      <c r="B133" s="73">
        <f>B134</f>
        <v>5.5E-2</v>
      </c>
      <c r="C133" s="253">
        <f>SUM(B116:C116)/SUM(B114:C114)</f>
        <v>0.2</v>
      </c>
      <c r="D133" s="189"/>
      <c r="E133" s="189"/>
      <c r="F133" s="189"/>
      <c r="G133" s="189"/>
      <c r="H133" s="189"/>
      <c r="I133" s="189"/>
      <c r="J133" s="189"/>
      <c r="K133" s="189"/>
      <c r="L133" s="189"/>
    </row>
    <row r="134" spans="1:17" x14ac:dyDescent="0.25">
      <c r="A134" s="20" t="s">
        <v>254</v>
      </c>
      <c r="B134" s="73">
        <v>5.5E-2</v>
      </c>
      <c r="C134" s="192">
        <v>0</v>
      </c>
      <c r="D134" s="189"/>
      <c r="E134" s="189"/>
      <c r="F134" s="189"/>
      <c r="G134" s="189"/>
      <c r="H134" s="189"/>
      <c r="I134" s="189"/>
      <c r="J134" s="189"/>
      <c r="K134" s="189"/>
      <c r="L134" s="189"/>
    </row>
    <row r="135" spans="1:17" x14ac:dyDescent="0.25">
      <c r="A135" s="20" t="s">
        <v>74</v>
      </c>
      <c r="B135" s="73">
        <v>0.11</v>
      </c>
      <c r="C135" s="192">
        <v>0</v>
      </c>
      <c r="D135" s="189"/>
      <c r="E135" s="189"/>
      <c r="F135" s="189"/>
      <c r="G135" s="189"/>
      <c r="H135" s="189"/>
      <c r="I135" s="189"/>
      <c r="J135" s="189"/>
      <c r="K135" s="189"/>
      <c r="L135" s="189"/>
    </row>
    <row r="136" spans="1:17" x14ac:dyDescent="0.25">
      <c r="A136" s="20" t="s">
        <v>75</v>
      </c>
      <c r="B136" s="91">
        <v>0.06</v>
      </c>
      <c r="C136" s="192">
        <v>0</v>
      </c>
      <c r="D136" s="189"/>
      <c r="E136" s="189"/>
      <c r="F136" s="189"/>
      <c r="G136" s="189"/>
      <c r="H136" s="189"/>
      <c r="I136" s="189"/>
      <c r="J136" s="189"/>
      <c r="K136" s="189"/>
      <c r="L136" s="189"/>
    </row>
    <row r="137" spans="1:17" x14ac:dyDescent="0.25">
      <c r="A137" s="20" t="s">
        <v>105</v>
      </c>
      <c r="B137" s="91">
        <f>B135+B136</f>
        <v>0.16999999999999998</v>
      </c>
      <c r="C137" s="253">
        <f>SUM(B118:C118)/SUM(B114:C114)</f>
        <v>0.2</v>
      </c>
      <c r="D137" s="189"/>
      <c r="E137" s="189"/>
      <c r="F137" s="189"/>
      <c r="G137" s="189"/>
      <c r="H137" s="189"/>
      <c r="I137" s="189"/>
      <c r="J137" s="189"/>
      <c r="K137" s="189"/>
      <c r="L137" s="189"/>
    </row>
    <row r="138" spans="1:17" x14ac:dyDescent="0.25">
      <c r="A138" s="20" t="s">
        <v>76</v>
      </c>
      <c r="B138" s="91">
        <v>0.19</v>
      </c>
      <c r="C138" s="253">
        <f>SUM(B118:C118)/SUM(B114:C114)</f>
        <v>0.2</v>
      </c>
      <c r="D138" s="189"/>
      <c r="E138" s="189"/>
      <c r="F138" s="189"/>
      <c r="G138" s="189"/>
      <c r="H138" s="189"/>
      <c r="I138" s="189"/>
      <c r="J138" s="189"/>
      <c r="K138" s="189"/>
      <c r="L138" s="189"/>
    </row>
    <row r="139" spans="1:17" x14ac:dyDescent="0.25">
      <c r="C139" s="184"/>
    </row>
    <row r="140" spans="1:17" ht="18.75" x14ac:dyDescent="0.3">
      <c r="A140" s="103" t="s">
        <v>115</v>
      </c>
      <c r="C140" s="184"/>
    </row>
    <row r="141" spans="1:17" x14ac:dyDescent="0.25">
      <c r="A141" s="104" t="s">
        <v>116</v>
      </c>
      <c r="C141" s="184"/>
    </row>
    <row r="142" spans="1:17" x14ac:dyDescent="0.25">
      <c r="A142" s="107"/>
      <c r="B142" s="108"/>
      <c r="C142" s="256">
        <f>B104</f>
        <v>2016</v>
      </c>
      <c r="D142" s="256">
        <f t="shared" ref="D142:L142" si="64">C104</f>
        <v>2017</v>
      </c>
      <c r="E142" s="256">
        <f t="shared" si="64"/>
        <v>2018</v>
      </c>
      <c r="F142" s="256">
        <f t="shared" si="64"/>
        <v>2019</v>
      </c>
      <c r="G142" s="256">
        <f t="shared" si="64"/>
        <v>2020</v>
      </c>
      <c r="H142" s="256">
        <f t="shared" si="64"/>
        <v>2021</v>
      </c>
      <c r="I142" s="256">
        <f t="shared" si="64"/>
        <v>2022</v>
      </c>
      <c r="J142" s="256">
        <f t="shared" si="64"/>
        <v>2023</v>
      </c>
      <c r="K142" s="256">
        <f t="shared" si="64"/>
        <v>2024</v>
      </c>
      <c r="L142" s="256">
        <f t="shared" si="64"/>
        <v>2025</v>
      </c>
      <c r="M142" s="256">
        <v>2026</v>
      </c>
      <c r="N142" s="256">
        <v>2027</v>
      </c>
      <c r="O142" s="256">
        <v>2028</v>
      </c>
      <c r="P142" s="256">
        <v>2029</v>
      </c>
      <c r="Q142" s="256">
        <v>2030</v>
      </c>
    </row>
    <row r="143" spans="1:17" x14ac:dyDescent="0.25">
      <c r="A143" s="20" t="str">
        <f>A115</f>
        <v>Фонд ЖКХ</v>
      </c>
      <c r="B143" s="35"/>
      <c r="C143" s="204">
        <f>B115</f>
        <v>30000</v>
      </c>
      <c r="D143" s="204"/>
      <c r="E143" s="204">
        <f t="shared" ref="E143:L143" si="65">D143+D115</f>
        <v>0</v>
      </c>
      <c r="F143" s="204">
        <f t="shared" si="65"/>
        <v>0</v>
      </c>
      <c r="G143" s="204">
        <f t="shared" si="65"/>
        <v>0</v>
      </c>
      <c r="H143" s="204">
        <f t="shared" si="65"/>
        <v>0</v>
      </c>
      <c r="I143" s="204">
        <f t="shared" si="65"/>
        <v>0</v>
      </c>
      <c r="J143" s="204">
        <f t="shared" si="65"/>
        <v>0</v>
      </c>
      <c r="K143" s="204">
        <f t="shared" si="65"/>
        <v>0</v>
      </c>
      <c r="L143" s="204">
        <f t="shared" si="65"/>
        <v>0</v>
      </c>
      <c r="M143" s="204">
        <f t="shared" ref="M143:M144" si="66">L143+L115</f>
        <v>0</v>
      </c>
      <c r="N143" s="204">
        <f t="shared" ref="N143:N144" si="67">M143+M115</f>
        <v>0</v>
      </c>
      <c r="O143" s="204">
        <f t="shared" ref="O143:O144" si="68">N143+N115</f>
        <v>0</v>
      </c>
      <c r="P143" s="204">
        <f t="shared" ref="P143:P144" si="69">O143+O115</f>
        <v>0</v>
      </c>
      <c r="Q143" s="204">
        <f t="shared" ref="Q143:Q144" si="70">P143+P115</f>
        <v>0</v>
      </c>
    </row>
    <row r="144" spans="1:17" x14ac:dyDescent="0.25">
      <c r="A144" s="20" t="str">
        <f>A116</f>
        <v>Региональный и местный бюджет</v>
      </c>
      <c r="B144" s="35"/>
      <c r="C144" s="204">
        <f>B116</f>
        <v>10000</v>
      </c>
      <c r="D144" s="204"/>
      <c r="E144" s="204">
        <f t="shared" ref="E144:L144" si="71">D144+D116</f>
        <v>0</v>
      </c>
      <c r="F144" s="204">
        <f t="shared" si="71"/>
        <v>0</v>
      </c>
      <c r="G144" s="204">
        <f t="shared" si="71"/>
        <v>0</v>
      </c>
      <c r="H144" s="204">
        <f t="shared" si="71"/>
        <v>0</v>
      </c>
      <c r="I144" s="204">
        <f t="shared" si="71"/>
        <v>0</v>
      </c>
      <c r="J144" s="204">
        <f t="shared" si="71"/>
        <v>0</v>
      </c>
      <c r="K144" s="204">
        <f t="shared" si="71"/>
        <v>0</v>
      </c>
      <c r="L144" s="204">
        <f t="shared" si="71"/>
        <v>0</v>
      </c>
      <c r="M144" s="204">
        <f t="shared" si="66"/>
        <v>0</v>
      </c>
      <c r="N144" s="204">
        <f t="shared" si="67"/>
        <v>0</v>
      </c>
      <c r="O144" s="204">
        <f t="shared" si="68"/>
        <v>0</v>
      </c>
      <c r="P144" s="204">
        <f t="shared" si="69"/>
        <v>0</v>
      </c>
      <c r="Q144" s="204">
        <f t="shared" si="70"/>
        <v>0</v>
      </c>
    </row>
    <row r="145" spans="1:17" x14ac:dyDescent="0.25">
      <c r="A145" s="20" t="str">
        <f>A118</f>
        <v>Собственные средства</v>
      </c>
      <c r="B145" s="35"/>
      <c r="C145" s="204">
        <f>B118</f>
        <v>10000</v>
      </c>
      <c r="D145" s="204"/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  <c r="P145" s="204"/>
      <c r="Q145" s="204"/>
    </row>
    <row r="146" spans="1:17" x14ac:dyDescent="0.25">
      <c r="A146" s="20" t="str">
        <f>A119</f>
        <v>Привлеченные средства (кредит)</v>
      </c>
      <c r="B146" s="35"/>
      <c r="C146" s="204">
        <f>B119</f>
        <v>0</v>
      </c>
      <c r="D146" s="204">
        <f>C119+C146-'Кредит тепло'!C19</f>
        <v>0</v>
      </c>
      <c r="E146" s="204">
        <f>D119+D146-'Кредит тепло'!D19</f>
        <v>0</v>
      </c>
      <c r="F146" s="204">
        <f>E119+E146-'Кредит тепло'!E19</f>
        <v>0</v>
      </c>
      <c r="G146" s="204"/>
      <c r="H146" s="204">
        <f>G119+G146-'Кредит тепло'!G19</f>
        <v>0</v>
      </c>
      <c r="I146" s="204">
        <f>H119+H146-'Кредит тепло'!H19</f>
        <v>0</v>
      </c>
      <c r="J146" s="204">
        <f>I119+I146-'Кредит тепло'!I19</f>
        <v>0</v>
      </c>
      <c r="K146" s="204"/>
      <c r="L146" s="204"/>
      <c r="M146" s="204"/>
      <c r="N146" s="204"/>
      <c r="O146" s="204"/>
      <c r="P146" s="204"/>
      <c r="Q146" s="204"/>
    </row>
    <row r="147" spans="1:17" x14ac:dyDescent="0.25">
      <c r="A147" s="93" t="s">
        <v>95</v>
      </c>
      <c r="B147" s="134">
        <f>SUM(C147:L147)</f>
        <v>50000</v>
      </c>
      <c r="C147" s="257">
        <f>SUM(C143:C146)</f>
        <v>50000</v>
      </c>
      <c r="D147" s="257">
        <f t="shared" ref="D147:Q147" si="72">SUM(D143:D146)</f>
        <v>0</v>
      </c>
      <c r="E147" s="257">
        <f t="shared" si="72"/>
        <v>0</v>
      </c>
      <c r="F147" s="257">
        <f t="shared" si="72"/>
        <v>0</v>
      </c>
      <c r="G147" s="257">
        <f t="shared" si="72"/>
        <v>0</v>
      </c>
      <c r="H147" s="257">
        <f t="shared" si="72"/>
        <v>0</v>
      </c>
      <c r="I147" s="257">
        <f t="shared" si="72"/>
        <v>0</v>
      </c>
      <c r="J147" s="257">
        <f t="shared" si="72"/>
        <v>0</v>
      </c>
      <c r="K147" s="257">
        <f t="shared" si="72"/>
        <v>0</v>
      </c>
      <c r="L147" s="257">
        <f t="shared" si="72"/>
        <v>0</v>
      </c>
      <c r="M147" s="257">
        <f t="shared" si="72"/>
        <v>0</v>
      </c>
      <c r="N147" s="257">
        <f t="shared" si="72"/>
        <v>0</v>
      </c>
      <c r="O147" s="257">
        <f t="shared" si="72"/>
        <v>0</v>
      </c>
      <c r="P147" s="257">
        <f t="shared" si="72"/>
        <v>0</v>
      </c>
      <c r="Q147" s="257">
        <f t="shared" si="72"/>
        <v>0</v>
      </c>
    </row>
    <row r="148" spans="1:17" x14ac:dyDescent="0.25">
      <c r="A148" s="53"/>
      <c r="B148" s="111"/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</row>
    <row r="149" spans="1:17" x14ac:dyDescent="0.25">
      <c r="A149" s="29" t="s">
        <v>114</v>
      </c>
      <c r="C149" s="184"/>
    </row>
    <row r="150" spans="1:17" x14ac:dyDescent="0.25">
      <c r="A150" s="107"/>
      <c r="B150" s="108"/>
      <c r="C150" s="256">
        <f>B104</f>
        <v>2016</v>
      </c>
      <c r="D150" s="256">
        <f t="shared" ref="D150:L150" si="73">C104</f>
        <v>2017</v>
      </c>
      <c r="E150" s="256">
        <f t="shared" si="73"/>
        <v>2018</v>
      </c>
      <c r="F150" s="256">
        <f t="shared" si="73"/>
        <v>2019</v>
      </c>
      <c r="G150" s="256">
        <f t="shared" si="73"/>
        <v>2020</v>
      </c>
      <c r="H150" s="256">
        <f t="shared" si="73"/>
        <v>2021</v>
      </c>
      <c r="I150" s="256">
        <f t="shared" si="73"/>
        <v>2022</v>
      </c>
      <c r="J150" s="256">
        <f t="shared" si="73"/>
        <v>2023</v>
      </c>
      <c r="K150" s="256">
        <f t="shared" si="73"/>
        <v>2024</v>
      </c>
      <c r="L150" s="256">
        <f t="shared" si="73"/>
        <v>2025</v>
      </c>
      <c r="M150" s="256">
        <v>2026</v>
      </c>
      <c r="N150" s="256">
        <v>2027</v>
      </c>
      <c r="O150" s="256">
        <v>2028</v>
      </c>
      <c r="P150" s="256">
        <v>2029</v>
      </c>
      <c r="Q150" s="256">
        <v>2030</v>
      </c>
    </row>
    <row r="151" spans="1:17" x14ac:dyDescent="0.25">
      <c r="A151" s="20" t="str">
        <f>A132</f>
        <v>Фонд ЖКХ</v>
      </c>
      <c r="B151" s="35"/>
      <c r="C151" s="259">
        <f>IF(C143=0,0,C143/C$147)</f>
        <v>0.6</v>
      </c>
      <c r="D151" s="259">
        <f t="shared" ref="D151:Q151" si="74">IF(D143=0,0,D143/D$147)</f>
        <v>0</v>
      </c>
      <c r="E151" s="259">
        <f t="shared" si="74"/>
        <v>0</v>
      </c>
      <c r="F151" s="259">
        <f t="shared" si="74"/>
        <v>0</v>
      </c>
      <c r="G151" s="259">
        <f t="shared" si="74"/>
        <v>0</v>
      </c>
      <c r="H151" s="259">
        <f t="shared" si="74"/>
        <v>0</v>
      </c>
      <c r="I151" s="259">
        <f t="shared" si="74"/>
        <v>0</v>
      </c>
      <c r="J151" s="259">
        <f t="shared" si="74"/>
        <v>0</v>
      </c>
      <c r="K151" s="259">
        <f t="shared" si="74"/>
        <v>0</v>
      </c>
      <c r="L151" s="259">
        <f t="shared" si="74"/>
        <v>0</v>
      </c>
      <c r="M151" s="259">
        <f t="shared" si="74"/>
        <v>0</v>
      </c>
      <c r="N151" s="259">
        <f t="shared" si="74"/>
        <v>0</v>
      </c>
      <c r="O151" s="259">
        <f t="shared" si="74"/>
        <v>0</v>
      </c>
      <c r="P151" s="259">
        <f t="shared" si="74"/>
        <v>0</v>
      </c>
      <c r="Q151" s="259">
        <f t="shared" si="74"/>
        <v>0</v>
      </c>
    </row>
    <row r="152" spans="1:17" x14ac:dyDescent="0.25">
      <c r="A152" s="20" t="str">
        <f>A133</f>
        <v>Региональный и местный бюджет</v>
      </c>
      <c r="B152" s="35"/>
      <c r="C152" s="259">
        <f>IF(C144=0,0,C144/C$147)</f>
        <v>0.2</v>
      </c>
      <c r="D152" s="259">
        <f t="shared" ref="D152:Q152" si="75">IF(D144=0,0,D144/D$147)</f>
        <v>0</v>
      </c>
      <c r="E152" s="259">
        <f t="shared" si="75"/>
        <v>0</v>
      </c>
      <c r="F152" s="259">
        <f t="shared" si="75"/>
        <v>0</v>
      </c>
      <c r="G152" s="259">
        <f t="shared" si="75"/>
        <v>0</v>
      </c>
      <c r="H152" s="259">
        <f t="shared" si="75"/>
        <v>0</v>
      </c>
      <c r="I152" s="259">
        <f t="shared" si="75"/>
        <v>0</v>
      </c>
      <c r="J152" s="259">
        <f t="shared" si="75"/>
        <v>0</v>
      </c>
      <c r="K152" s="259">
        <f t="shared" si="75"/>
        <v>0</v>
      </c>
      <c r="L152" s="259">
        <f t="shared" si="75"/>
        <v>0</v>
      </c>
      <c r="M152" s="259">
        <f t="shared" si="75"/>
        <v>0</v>
      </c>
      <c r="N152" s="259">
        <f t="shared" si="75"/>
        <v>0</v>
      </c>
      <c r="O152" s="259">
        <f t="shared" si="75"/>
        <v>0</v>
      </c>
      <c r="P152" s="259">
        <f t="shared" si="75"/>
        <v>0</v>
      </c>
      <c r="Q152" s="259">
        <f t="shared" si="75"/>
        <v>0</v>
      </c>
    </row>
    <row r="153" spans="1:17" x14ac:dyDescent="0.25">
      <c r="A153" s="20" t="str">
        <f>A137</f>
        <v>Сосбственные средства</v>
      </c>
      <c r="B153" s="35"/>
      <c r="C153" s="259">
        <f>IF(C145=0,0,C145/C$147)</f>
        <v>0.2</v>
      </c>
      <c r="D153" s="259">
        <f t="shared" ref="D153:Q153" si="76">IF(D145=0,0,D145/D$147)</f>
        <v>0</v>
      </c>
      <c r="E153" s="259">
        <f t="shared" si="76"/>
        <v>0</v>
      </c>
      <c r="F153" s="259">
        <f t="shared" si="76"/>
        <v>0</v>
      </c>
      <c r="G153" s="259">
        <f t="shared" si="76"/>
        <v>0</v>
      </c>
      <c r="H153" s="259">
        <f t="shared" si="76"/>
        <v>0</v>
      </c>
      <c r="I153" s="259">
        <f t="shared" si="76"/>
        <v>0</v>
      </c>
      <c r="J153" s="259">
        <f t="shared" si="76"/>
        <v>0</v>
      </c>
      <c r="K153" s="259">
        <f t="shared" si="76"/>
        <v>0</v>
      </c>
      <c r="L153" s="259">
        <f t="shared" si="76"/>
        <v>0</v>
      </c>
      <c r="M153" s="259">
        <f t="shared" si="76"/>
        <v>0</v>
      </c>
      <c r="N153" s="259">
        <f t="shared" si="76"/>
        <v>0</v>
      </c>
      <c r="O153" s="259">
        <f t="shared" si="76"/>
        <v>0</v>
      </c>
      <c r="P153" s="259">
        <f t="shared" si="76"/>
        <v>0</v>
      </c>
      <c r="Q153" s="259">
        <f t="shared" si="76"/>
        <v>0</v>
      </c>
    </row>
    <row r="154" spans="1:17" x14ac:dyDescent="0.25">
      <c r="A154" s="20" t="str">
        <f>A146</f>
        <v>Привлеченные средства (кредит)</v>
      </c>
      <c r="B154" s="35"/>
      <c r="C154" s="259">
        <f>IF(C146=0,0,C146/C$147)</f>
        <v>0</v>
      </c>
      <c r="D154" s="259">
        <f t="shared" ref="D154:Q154" si="77">IF(D146=0,0,D146/D$147)</f>
        <v>0</v>
      </c>
      <c r="E154" s="259">
        <f t="shared" si="77"/>
        <v>0</v>
      </c>
      <c r="F154" s="259">
        <f t="shared" si="77"/>
        <v>0</v>
      </c>
      <c r="G154" s="259">
        <f t="shared" si="77"/>
        <v>0</v>
      </c>
      <c r="H154" s="259">
        <f t="shared" si="77"/>
        <v>0</v>
      </c>
      <c r="I154" s="259">
        <f t="shared" si="77"/>
        <v>0</v>
      </c>
      <c r="J154" s="259">
        <f t="shared" si="77"/>
        <v>0</v>
      </c>
      <c r="K154" s="259">
        <f t="shared" si="77"/>
        <v>0</v>
      </c>
      <c r="L154" s="259">
        <f t="shared" si="77"/>
        <v>0</v>
      </c>
      <c r="M154" s="259">
        <f t="shared" si="77"/>
        <v>0</v>
      </c>
      <c r="N154" s="259">
        <f t="shared" si="77"/>
        <v>0</v>
      </c>
      <c r="O154" s="259">
        <f t="shared" si="77"/>
        <v>0</v>
      </c>
      <c r="P154" s="259">
        <f t="shared" si="77"/>
        <v>0</v>
      </c>
      <c r="Q154" s="259">
        <f t="shared" si="77"/>
        <v>0</v>
      </c>
    </row>
    <row r="155" spans="1:17" x14ac:dyDescent="0.25">
      <c r="C155" s="184"/>
    </row>
    <row r="156" spans="1:17" x14ac:dyDescent="0.25">
      <c r="A156" s="105" t="s">
        <v>118</v>
      </c>
      <c r="C156" s="184"/>
    </row>
    <row r="157" spans="1:17" x14ac:dyDescent="0.25">
      <c r="A157" s="107"/>
      <c r="B157" s="108"/>
      <c r="C157" s="256">
        <f>C150</f>
        <v>2016</v>
      </c>
      <c r="D157" s="256">
        <f t="shared" ref="D157:Q157" si="78">D150</f>
        <v>2017</v>
      </c>
      <c r="E157" s="256">
        <f t="shared" si="78"/>
        <v>2018</v>
      </c>
      <c r="F157" s="256">
        <f t="shared" si="78"/>
        <v>2019</v>
      </c>
      <c r="G157" s="256">
        <f t="shared" si="78"/>
        <v>2020</v>
      </c>
      <c r="H157" s="256">
        <f t="shared" si="78"/>
        <v>2021</v>
      </c>
      <c r="I157" s="256">
        <f t="shared" si="78"/>
        <v>2022</v>
      </c>
      <c r="J157" s="256">
        <f t="shared" si="78"/>
        <v>2023</v>
      </c>
      <c r="K157" s="256">
        <f t="shared" si="78"/>
        <v>2024</v>
      </c>
      <c r="L157" s="256">
        <f t="shared" si="78"/>
        <v>2025</v>
      </c>
      <c r="M157" s="256">
        <f t="shared" si="78"/>
        <v>2026</v>
      </c>
      <c r="N157" s="256">
        <f t="shared" si="78"/>
        <v>2027</v>
      </c>
      <c r="O157" s="256">
        <f t="shared" si="78"/>
        <v>2028</v>
      </c>
      <c r="P157" s="256">
        <f t="shared" si="78"/>
        <v>2029</v>
      </c>
      <c r="Q157" s="256">
        <f t="shared" si="78"/>
        <v>2030</v>
      </c>
    </row>
    <row r="158" spans="1:17" x14ac:dyDescent="0.25">
      <c r="A158" s="106" t="str">
        <f>A151</f>
        <v>Фонд ЖКХ</v>
      </c>
      <c r="B158" s="35"/>
      <c r="C158" s="235">
        <f>$B$132</f>
        <v>5.5E-2</v>
      </c>
      <c r="D158" s="235">
        <f t="shared" ref="D158:Q158" si="79">$B$132</f>
        <v>5.5E-2</v>
      </c>
      <c r="E158" s="235">
        <f t="shared" si="79"/>
        <v>5.5E-2</v>
      </c>
      <c r="F158" s="235">
        <f t="shared" si="79"/>
        <v>5.5E-2</v>
      </c>
      <c r="G158" s="235">
        <f t="shared" si="79"/>
        <v>5.5E-2</v>
      </c>
      <c r="H158" s="235">
        <f t="shared" si="79"/>
        <v>5.5E-2</v>
      </c>
      <c r="I158" s="235">
        <f t="shared" si="79"/>
        <v>5.5E-2</v>
      </c>
      <c r="J158" s="235">
        <f t="shared" si="79"/>
        <v>5.5E-2</v>
      </c>
      <c r="K158" s="235">
        <f t="shared" si="79"/>
        <v>5.5E-2</v>
      </c>
      <c r="L158" s="235">
        <f t="shared" si="79"/>
        <v>5.5E-2</v>
      </c>
      <c r="M158" s="235">
        <f t="shared" si="79"/>
        <v>5.5E-2</v>
      </c>
      <c r="N158" s="235">
        <f t="shared" si="79"/>
        <v>5.5E-2</v>
      </c>
      <c r="O158" s="235">
        <f t="shared" si="79"/>
        <v>5.5E-2</v>
      </c>
      <c r="P158" s="235">
        <f t="shared" si="79"/>
        <v>5.5E-2</v>
      </c>
      <c r="Q158" s="235">
        <f t="shared" si="79"/>
        <v>5.5E-2</v>
      </c>
    </row>
    <row r="159" spans="1:17" x14ac:dyDescent="0.25">
      <c r="A159" s="106" t="str">
        <f>A152</f>
        <v>Региональный и местный бюджет</v>
      </c>
      <c r="B159" s="35"/>
      <c r="C159" s="235">
        <f>$B$133</f>
        <v>5.5E-2</v>
      </c>
      <c r="D159" s="235">
        <f t="shared" ref="D159:Q159" si="80">$B$133</f>
        <v>5.5E-2</v>
      </c>
      <c r="E159" s="235">
        <f t="shared" si="80"/>
        <v>5.5E-2</v>
      </c>
      <c r="F159" s="235">
        <f t="shared" si="80"/>
        <v>5.5E-2</v>
      </c>
      <c r="G159" s="235">
        <f t="shared" si="80"/>
        <v>5.5E-2</v>
      </c>
      <c r="H159" s="235">
        <f t="shared" si="80"/>
        <v>5.5E-2</v>
      </c>
      <c r="I159" s="235">
        <f t="shared" si="80"/>
        <v>5.5E-2</v>
      </c>
      <c r="J159" s="235">
        <f t="shared" si="80"/>
        <v>5.5E-2</v>
      </c>
      <c r="K159" s="235">
        <f t="shared" si="80"/>
        <v>5.5E-2</v>
      </c>
      <c r="L159" s="235">
        <f t="shared" si="80"/>
        <v>5.5E-2</v>
      </c>
      <c r="M159" s="235">
        <f t="shared" si="80"/>
        <v>5.5E-2</v>
      </c>
      <c r="N159" s="235">
        <f t="shared" si="80"/>
        <v>5.5E-2</v>
      </c>
      <c r="O159" s="235">
        <f t="shared" si="80"/>
        <v>5.5E-2</v>
      </c>
      <c r="P159" s="235">
        <f t="shared" si="80"/>
        <v>5.5E-2</v>
      </c>
      <c r="Q159" s="235">
        <f t="shared" si="80"/>
        <v>5.5E-2</v>
      </c>
    </row>
    <row r="160" spans="1:17" x14ac:dyDescent="0.25">
      <c r="A160" s="106" t="str">
        <f>A145</f>
        <v>Собственные средства</v>
      </c>
      <c r="B160" s="35"/>
      <c r="C160" s="253">
        <f>$B$137</f>
        <v>0.16999999999999998</v>
      </c>
      <c r="D160" s="253">
        <f t="shared" ref="D160:Q160" si="81">$B$137</f>
        <v>0.16999999999999998</v>
      </c>
      <c r="E160" s="253">
        <f t="shared" si="81"/>
        <v>0.16999999999999998</v>
      </c>
      <c r="F160" s="253">
        <f t="shared" si="81"/>
        <v>0.16999999999999998</v>
      </c>
      <c r="G160" s="253">
        <f t="shared" si="81"/>
        <v>0.16999999999999998</v>
      </c>
      <c r="H160" s="253">
        <f t="shared" si="81"/>
        <v>0.16999999999999998</v>
      </c>
      <c r="I160" s="253">
        <f t="shared" si="81"/>
        <v>0.16999999999999998</v>
      </c>
      <c r="J160" s="253">
        <f t="shared" si="81"/>
        <v>0.16999999999999998</v>
      </c>
      <c r="K160" s="253">
        <f t="shared" si="81"/>
        <v>0.16999999999999998</v>
      </c>
      <c r="L160" s="253">
        <f t="shared" si="81"/>
        <v>0.16999999999999998</v>
      </c>
      <c r="M160" s="253">
        <f t="shared" si="81"/>
        <v>0.16999999999999998</v>
      </c>
      <c r="N160" s="253">
        <f t="shared" si="81"/>
        <v>0.16999999999999998</v>
      </c>
      <c r="O160" s="253">
        <f t="shared" si="81"/>
        <v>0.16999999999999998</v>
      </c>
      <c r="P160" s="253">
        <f t="shared" si="81"/>
        <v>0.16999999999999998</v>
      </c>
      <c r="Q160" s="253">
        <f t="shared" si="81"/>
        <v>0.16999999999999998</v>
      </c>
    </row>
    <row r="161" spans="1:35" ht="34.5" customHeight="1" x14ac:dyDescent="0.25">
      <c r="A161" s="106" t="s">
        <v>119</v>
      </c>
      <c r="B161" s="35"/>
      <c r="C161" s="194">
        <f>C160*(1-'Исходные данные общие'!B10)</f>
        <v>0.13599999999999998</v>
      </c>
      <c r="D161" s="194">
        <f>D160*(1-'Исходные данные общие'!C10)</f>
        <v>0.13599999999999998</v>
      </c>
      <c r="E161" s="194">
        <f>E160*(1-'Исходные данные общие'!D10)</f>
        <v>0.13599999999999998</v>
      </c>
      <c r="F161" s="194">
        <f>F160*(1-'Исходные данные общие'!E10)</f>
        <v>0.13599999999999998</v>
      </c>
      <c r="G161" s="194">
        <f>G160*(1-'Исходные данные общие'!F10)</f>
        <v>0.13599999999999998</v>
      </c>
      <c r="H161" s="194">
        <f>H160*(1-'Исходные данные общие'!G10)</f>
        <v>0.13599999999999998</v>
      </c>
      <c r="I161" s="194">
        <f>I160*(1-'Исходные данные общие'!H10)</f>
        <v>0.13599999999999998</v>
      </c>
      <c r="J161" s="194">
        <f>J160*(1-'Исходные данные общие'!I10)</f>
        <v>0.13599999999999998</v>
      </c>
      <c r="K161" s="194">
        <f>K160*(1-'Исходные данные общие'!J10)</f>
        <v>0.13599999999999998</v>
      </c>
      <c r="L161" s="194">
        <f>L160*(1-'Исходные данные общие'!K10)</f>
        <v>0.13599999999999998</v>
      </c>
      <c r="M161" s="194">
        <f>M160*(1-'Исходные данные общие'!L10)</f>
        <v>0.13599999999999998</v>
      </c>
      <c r="N161" s="194">
        <f>N160*(1-'Исходные данные общие'!M10)</f>
        <v>0.13599999999999998</v>
      </c>
      <c r="O161" s="194">
        <f>O160*(1-'Исходные данные общие'!N10)</f>
        <v>0.13599999999999998</v>
      </c>
      <c r="P161" s="194">
        <f>P160*(1-'Исходные данные общие'!O10)</f>
        <v>0.13599999999999998</v>
      </c>
      <c r="Q161" s="194">
        <f>Q160*(1-'Исходные данные общие'!P10)</f>
        <v>0.13599999999999998</v>
      </c>
    </row>
    <row r="162" spans="1:35" x14ac:dyDescent="0.25">
      <c r="A162" s="106" t="str">
        <f>A146</f>
        <v>Привлеченные средства (кредит)</v>
      </c>
      <c r="B162" s="35"/>
      <c r="C162" s="253">
        <f>$B$138</f>
        <v>0.19</v>
      </c>
      <c r="D162" s="253">
        <f t="shared" ref="D162:Q162" si="82">$B$138</f>
        <v>0.19</v>
      </c>
      <c r="E162" s="253">
        <f t="shared" si="82"/>
        <v>0.19</v>
      </c>
      <c r="F162" s="253">
        <f t="shared" si="82"/>
        <v>0.19</v>
      </c>
      <c r="G162" s="253">
        <f t="shared" si="82"/>
        <v>0.19</v>
      </c>
      <c r="H162" s="253">
        <f t="shared" si="82"/>
        <v>0.19</v>
      </c>
      <c r="I162" s="253">
        <f t="shared" si="82"/>
        <v>0.19</v>
      </c>
      <c r="J162" s="253">
        <f t="shared" si="82"/>
        <v>0.19</v>
      </c>
      <c r="K162" s="253">
        <f t="shared" si="82"/>
        <v>0.19</v>
      </c>
      <c r="L162" s="253">
        <f t="shared" si="82"/>
        <v>0.19</v>
      </c>
      <c r="M162" s="253">
        <f t="shared" si="82"/>
        <v>0.19</v>
      </c>
      <c r="N162" s="253">
        <f t="shared" si="82"/>
        <v>0.19</v>
      </c>
      <c r="O162" s="253">
        <f t="shared" si="82"/>
        <v>0.19</v>
      </c>
      <c r="P162" s="253">
        <f t="shared" si="82"/>
        <v>0.19</v>
      </c>
      <c r="Q162" s="253">
        <f t="shared" si="82"/>
        <v>0.19</v>
      </c>
    </row>
    <row r="163" spans="1:35" ht="30" x14ac:dyDescent="0.25">
      <c r="A163" s="106" t="s">
        <v>120</v>
      </c>
      <c r="B163" s="35"/>
      <c r="C163" s="194">
        <f>C162*(1-'Исходные данные общие'!B10)</f>
        <v>0.15200000000000002</v>
      </c>
      <c r="D163" s="194">
        <f>D162*(1-'Исходные данные общие'!C10)</f>
        <v>0.15200000000000002</v>
      </c>
      <c r="E163" s="194">
        <f>E162*(1-'Исходные данные общие'!D10)</f>
        <v>0.15200000000000002</v>
      </c>
      <c r="F163" s="194">
        <f>F162*(1-'Исходные данные общие'!E10)</f>
        <v>0.15200000000000002</v>
      </c>
      <c r="G163" s="194">
        <f>G162*(1-'Исходные данные общие'!F10)</f>
        <v>0.15200000000000002</v>
      </c>
      <c r="H163" s="194">
        <f>H162*(1-'Исходные данные общие'!G10)</f>
        <v>0.15200000000000002</v>
      </c>
      <c r="I163" s="194">
        <f>I162*(1-'Исходные данные общие'!H10)</f>
        <v>0.15200000000000002</v>
      </c>
      <c r="J163" s="194">
        <f>J162*(1-'Исходные данные общие'!I10)</f>
        <v>0.15200000000000002</v>
      </c>
      <c r="K163" s="194">
        <f>K162*(1-'Исходные данные общие'!J10)</f>
        <v>0.15200000000000002</v>
      </c>
      <c r="L163" s="194">
        <f>L162*(1-'Исходные данные общие'!K10)</f>
        <v>0.15200000000000002</v>
      </c>
      <c r="M163" s="194">
        <f>M162*(1-'Исходные данные общие'!L10)</f>
        <v>0.15200000000000002</v>
      </c>
      <c r="N163" s="194">
        <f>N162*(1-'Исходные данные общие'!M10)</f>
        <v>0.15200000000000002</v>
      </c>
      <c r="O163" s="194">
        <f>O162*(1-'Исходные данные общие'!N10)</f>
        <v>0.15200000000000002</v>
      </c>
      <c r="P163" s="194">
        <f>P162*(1-'Исходные данные общие'!O10)</f>
        <v>0.15200000000000002</v>
      </c>
      <c r="Q163" s="194">
        <f>Q162*(1-'Исходные данные общие'!P10)</f>
        <v>0.15200000000000002</v>
      </c>
    </row>
    <row r="164" spans="1:35" x14ac:dyDescent="0.25">
      <c r="A164" s="20"/>
      <c r="B164" s="35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</row>
    <row r="165" spans="1:35" x14ac:dyDescent="0.25">
      <c r="C165" s="184"/>
    </row>
    <row r="166" spans="1:35" x14ac:dyDescent="0.25">
      <c r="A166" t="s">
        <v>121</v>
      </c>
      <c r="C166" s="184"/>
    </row>
    <row r="167" spans="1:35" x14ac:dyDescent="0.25">
      <c r="A167" s="107"/>
      <c r="B167" s="108"/>
      <c r="C167" s="256">
        <f>C157</f>
        <v>2016</v>
      </c>
      <c r="D167" s="256">
        <f t="shared" ref="D167:Q167" si="83">D157</f>
        <v>2017</v>
      </c>
      <c r="E167" s="256">
        <f t="shared" si="83"/>
        <v>2018</v>
      </c>
      <c r="F167" s="256">
        <f t="shared" si="83"/>
        <v>2019</v>
      </c>
      <c r="G167" s="256">
        <f t="shared" si="83"/>
        <v>2020</v>
      </c>
      <c r="H167" s="256">
        <f t="shared" si="83"/>
        <v>2021</v>
      </c>
      <c r="I167" s="256">
        <f t="shared" si="83"/>
        <v>2022</v>
      </c>
      <c r="J167" s="256">
        <f t="shared" si="83"/>
        <v>2023</v>
      </c>
      <c r="K167" s="256">
        <f t="shared" si="83"/>
        <v>2024</v>
      </c>
      <c r="L167" s="256">
        <f t="shared" si="83"/>
        <v>2025</v>
      </c>
      <c r="M167" s="256">
        <f t="shared" si="83"/>
        <v>2026</v>
      </c>
      <c r="N167" s="256">
        <f t="shared" si="83"/>
        <v>2027</v>
      </c>
      <c r="O167" s="256">
        <f t="shared" si="83"/>
        <v>2028</v>
      </c>
      <c r="P167" s="256">
        <f t="shared" si="83"/>
        <v>2029</v>
      </c>
      <c r="Q167" s="256">
        <f t="shared" si="83"/>
        <v>2030</v>
      </c>
    </row>
    <row r="168" spans="1:35" x14ac:dyDescent="0.25">
      <c r="A168" s="20" t="str">
        <f>A151</f>
        <v>Фонд ЖКХ</v>
      </c>
      <c r="B168" s="35"/>
      <c r="C168" s="235">
        <f>C158*C151</f>
        <v>3.3000000000000002E-2</v>
      </c>
      <c r="D168" s="235">
        <f t="shared" ref="D168:Q168" si="84">D158*D151</f>
        <v>0</v>
      </c>
      <c r="E168" s="235">
        <f t="shared" si="84"/>
        <v>0</v>
      </c>
      <c r="F168" s="235">
        <f t="shared" si="84"/>
        <v>0</v>
      </c>
      <c r="G168" s="235">
        <f t="shared" si="84"/>
        <v>0</v>
      </c>
      <c r="H168" s="235">
        <f t="shared" si="84"/>
        <v>0</v>
      </c>
      <c r="I168" s="235">
        <f t="shared" si="84"/>
        <v>0</v>
      </c>
      <c r="J168" s="235">
        <f t="shared" si="84"/>
        <v>0</v>
      </c>
      <c r="K168" s="235">
        <f t="shared" si="84"/>
        <v>0</v>
      </c>
      <c r="L168" s="235">
        <f t="shared" si="84"/>
        <v>0</v>
      </c>
      <c r="M168" s="235">
        <f t="shared" si="84"/>
        <v>0</v>
      </c>
      <c r="N168" s="235">
        <f t="shared" si="84"/>
        <v>0</v>
      </c>
      <c r="O168" s="235">
        <f t="shared" si="84"/>
        <v>0</v>
      </c>
      <c r="P168" s="235">
        <f t="shared" si="84"/>
        <v>0</v>
      </c>
      <c r="Q168" s="235">
        <f t="shared" si="84"/>
        <v>0</v>
      </c>
    </row>
    <row r="169" spans="1:35" x14ac:dyDescent="0.25">
      <c r="A169" s="20" t="str">
        <f t="shared" ref="A169:A171" si="85">A152</f>
        <v>Региональный и местный бюджет</v>
      </c>
      <c r="B169" s="35"/>
      <c r="C169" s="235">
        <f>C159*C152</f>
        <v>1.1000000000000001E-2</v>
      </c>
      <c r="D169" s="235">
        <f t="shared" ref="D169:Q169" si="86">D159*D152</f>
        <v>0</v>
      </c>
      <c r="E169" s="235">
        <f t="shared" si="86"/>
        <v>0</v>
      </c>
      <c r="F169" s="235">
        <f t="shared" si="86"/>
        <v>0</v>
      </c>
      <c r="G169" s="235">
        <f t="shared" si="86"/>
        <v>0</v>
      </c>
      <c r="H169" s="235">
        <f t="shared" si="86"/>
        <v>0</v>
      </c>
      <c r="I169" s="235">
        <f t="shared" si="86"/>
        <v>0</v>
      </c>
      <c r="J169" s="235">
        <f t="shared" si="86"/>
        <v>0</v>
      </c>
      <c r="K169" s="235">
        <f t="shared" si="86"/>
        <v>0</v>
      </c>
      <c r="L169" s="235">
        <f t="shared" si="86"/>
        <v>0</v>
      </c>
      <c r="M169" s="235">
        <f t="shared" si="86"/>
        <v>0</v>
      </c>
      <c r="N169" s="235">
        <f t="shared" si="86"/>
        <v>0</v>
      </c>
      <c r="O169" s="235">
        <f t="shared" si="86"/>
        <v>0</v>
      </c>
      <c r="P169" s="235">
        <f t="shared" si="86"/>
        <v>0</v>
      </c>
      <c r="Q169" s="235">
        <f t="shared" si="86"/>
        <v>0</v>
      </c>
    </row>
    <row r="170" spans="1:35" x14ac:dyDescent="0.25">
      <c r="A170" s="20" t="str">
        <f t="shared" si="85"/>
        <v>Сосбственные средства</v>
      </c>
      <c r="B170" s="35"/>
      <c r="C170" s="260">
        <f>C161*C153</f>
        <v>2.7199999999999998E-2</v>
      </c>
      <c r="D170" s="260">
        <f t="shared" ref="D170:Q170" si="87">D161*D153</f>
        <v>0</v>
      </c>
      <c r="E170" s="260">
        <f t="shared" si="87"/>
        <v>0</v>
      </c>
      <c r="F170" s="260">
        <f t="shared" si="87"/>
        <v>0</v>
      </c>
      <c r="G170" s="260">
        <f t="shared" si="87"/>
        <v>0</v>
      </c>
      <c r="H170" s="260">
        <f t="shared" si="87"/>
        <v>0</v>
      </c>
      <c r="I170" s="260">
        <f t="shared" si="87"/>
        <v>0</v>
      </c>
      <c r="J170" s="260">
        <f t="shared" si="87"/>
        <v>0</v>
      </c>
      <c r="K170" s="260">
        <f t="shared" si="87"/>
        <v>0</v>
      </c>
      <c r="L170" s="260">
        <f t="shared" si="87"/>
        <v>0</v>
      </c>
      <c r="M170" s="260">
        <f t="shared" si="87"/>
        <v>0</v>
      </c>
      <c r="N170" s="260">
        <f t="shared" si="87"/>
        <v>0</v>
      </c>
      <c r="O170" s="260">
        <f t="shared" si="87"/>
        <v>0</v>
      </c>
      <c r="P170" s="260">
        <f t="shared" si="87"/>
        <v>0</v>
      </c>
      <c r="Q170" s="260">
        <f t="shared" si="87"/>
        <v>0</v>
      </c>
    </row>
    <row r="171" spans="1:35" x14ac:dyDescent="0.25">
      <c r="A171" s="20" t="str">
        <f t="shared" si="85"/>
        <v>Привлеченные средства (кредит)</v>
      </c>
      <c r="B171" s="35"/>
      <c r="C171" s="260">
        <f>C163*C154</f>
        <v>0</v>
      </c>
      <c r="D171" s="260">
        <f t="shared" ref="D171:Q171" si="88">D163*D154</f>
        <v>0</v>
      </c>
      <c r="E171" s="260">
        <f t="shared" si="88"/>
        <v>0</v>
      </c>
      <c r="F171" s="260">
        <f t="shared" si="88"/>
        <v>0</v>
      </c>
      <c r="G171" s="260">
        <f t="shared" si="88"/>
        <v>0</v>
      </c>
      <c r="H171" s="260">
        <f t="shared" si="88"/>
        <v>0</v>
      </c>
      <c r="I171" s="260">
        <f t="shared" si="88"/>
        <v>0</v>
      </c>
      <c r="J171" s="260">
        <f t="shared" si="88"/>
        <v>0</v>
      </c>
      <c r="K171" s="260">
        <f t="shared" si="88"/>
        <v>0</v>
      </c>
      <c r="L171" s="260">
        <f t="shared" si="88"/>
        <v>0</v>
      </c>
      <c r="M171" s="260">
        <f t="shared" si="88"/>
        <v>0</v>
      </c>
      <c r="N171" s="260">
        <f t="shared" si="88"/>
        <v>0</v>
      </c>
      <c r="O171" s="260">
        <f t="shared" si="88"/>
        <v>0</v>
      </c>
      <c r="P171" s="260">
        <f t="shared" si="88"/>
        <v>0</v>
      </c>
      <c r="Q171" s="260">
        <f t="shared" si="88"/>
        <v>0</v>
      </c>
    </row>
    <row r="172" spans="1:35" x14ac:dyDescent="0.25">
      <c r="A172" s="85" t="s">
        <v>122</v>
      </c>
      <c r="B172" s="109"/>
      <c r="C172" s="261">
        <f>IF(SUM(C168:C171)=0,$B$134,SUM(C168:C171))</f>
        <v>7.1199999999999999E-2</v>
      </c>
      <c r="D172" s="261">
        <f t="shared" ref="D172:Q172" si="89">IF(SUM(D168:D171)=0,$B$134,SUM(D168:D171))</f>
        <v>5.5E-2</v>
      </c>
      <c r="E172" s="261">
        <f t="shared" si="89"/>
        <v>5.5E-2</v>
      </c>
      <c r="F172" s="261">
        <f t="shared" si="89"/>
        <v>5.5E-2</v>
      </c>
      <c r="G172" s="261">
        <f t="shared" si="89"/>
        <v>5.5E-2</v>
      </c>
      <c r="H172" s="261">
        <f t="shared" si="89"/>
        <v>5.5E-2</v>
      </c>
      <c r="I172" s="261">
        <f t="shared" si="89"/>
        <v>5.5E-2</v>
      </c>
      <c r="J172" s="261">
        <f t="shared" si="89"/>
        <v>5.5E-2</v>
      </c>
      <c r="K172" s="261">
        <f t="shared" si="89"/>
        <v>5.5E-2</v>
      </c>
      <c r="L172" s="261">
        <f t="shared" si="89"/>
        <v>5.5E-2</v>
      </c>
      <c r="M172" s="261">
        <f t="shared" si="89"/>
        <v>5.5E-2</v>
      </c>
      <c r="N172" s="261">
        <f t="shared" si="89"/>
        <v>5.5E-2</v>
      </c>
      <c r="O172" s="261">
        <f t="shared" si="89"/>
        <v>5.5E-2</v>
      </c>
      <c r="P172" s="261">
        <f t="shared" si="89"/>
        <v>5.5E-2</v>
      </c>
      <c r="Q172" s="261">
        <f t="shared" si="89"/>
        <v>5.5E-2</v>
      </c>
    </row>
    <row r="173" spans="1:35" x14ac:dyDescent="0.25">
      <c r="A173" s="20" t="s">
        <v>123</v>
      </c>
      <c r="B173" s="124">
        <f>SUM(C173:L173)</f>
        <v>3560</v>
      </c>
      <c r="C173" s="204">
        <f>C172*C147</f>
        <v>3560</v>
      </c>
      <c r="D173" s="204">
        <f t="shared" ref="D173:Q173" si="90">D172*D147</f>
        <v>0</v>
      </c>
      <c r="E173" s="204">
        <f t="shared" si="90"/>
        <v>0</v>
      </c>
      <c r="F173" s="204">
        <f t="shared" si="90"/>
        <v>0</v>
      </c>
      <c r="G173" s="204">
        <f t="shared" si="90"/>
        <v>0</v>
      </c>
      <c r="H173" s="204">
        <f t="shared" si="90"/>
        <v>0</v>
      </c>
      <c r="I173" s="204">
        <f t="shared" si="90"/>
        <v>0</v>
      </c>
      <c r="J173" s="204">
        <f t="shared" si="90"/>
        <v>0</v>
      </c>
      <c r="K173" s="204">
        <f t="shared" si="90"/>
        <v>0</v>
      </c>
      <c r="L173" s="204">
        <f t="shared" si="90"/>
        <v>0</v>
      </c>
      <c r="M173" s="204">
        <f t="shared" si="90"/>
        <v>0</v>
      </c>
      <c r="N173" s="204">
        <f t="shared" si="90"/>
        <v>0</v>
      </c>
      <c r="O173" s="204">
        <f t="shared" si="90"/>
        <v>0</v>
      </c>
      <c r="P173" s="204">
        <f t="shared" si="90"/>
        <v>0</v>
      </c>
      <c r="Q173" s="204">
        <f t="shared" si="90"/>
        <v>0</v>
      </c>
    </row>
    <row r="174" spans="1:35" x14ac:dyDescent="0.25">
      <c r="A174" s="93" t="s">
        <v>255</v>
      </c>
      <c r="B174" s="110">
        <f>B173/B147</f>
        <v>7.1199999999999999E-2</v>
      </c>
      <c r="C174" s="262">
        <f>IF(C173=0,C172,C173/C147)</f>
        <v>7.1199999999999999E-2</v>
      </c>
      <c r="D174" s="262">
        <f t="shared" ref="D174:Q174" si="91">IF(D173=0,D172,D173/D147)</f>
        <v>5.5E-2</v>
      </c>
      <c r="E174" s="262">
        <f t="shared" si="91"/>
        <v>5.5E-2</v>
      </c>
      <c r="F174" s="262">
        <f t="shared" si="91"/>
        <v>5.5E-2</v>
      </c>
      <c r="G174" s="262">
        <f t="shared" si="91"/>
        <v>5.5E-2</v>
      </c>
      <c r="H174" s="262">
        <f t="shared" si="91"/>
        <v>5.5E-2</v>
      </c>
      <c r="I174" s="262">
        <f t="shared" si="91"/>
        <v>5.5E-2</v>
      </c>
      <c r="J174" s="262">
        <f t="shared" si="91"/>
        <v>5.5E-2</v>
      </c>
      <c r="K174" s="262">
        <f t="shared" si="91"/>
        <v>5.5E-2</v>
      </c>
      <c r="L174" s="262">
        <f t="shared" si="91"/>
        <v>5.5E-2</v>
      </c>
      <c r="M174" s="262">
        <f t="shared" si="91"/>
        <v>5.5E-2</v>
      </c>
      <c r="N174" s="262">
        <f t="shared" si="91"/>
        <v>5.5E-2</v>
      </c>
      <c r="O174" s="262">
        <f t="shared" si="91"/>
        <v>5.5E-2</v>
      </c>
      <c r="P174" s="262">
        <f t="shared" si="91"/>
        <v>5.5E-2</v>
      </c>
      <c r="Q174" s="262">
        <f t="shared" si="91"/>
        <v>5.5E-2</v>
      </c>
    </row>
    <row r="175" spans="1:35" s="45" customFormat="1" x14ac:dyDescent="0.25">
      <c r="A175" s="177"/>
      <c r="B175" s="178"/>
      <c r="C175" s="263"/>
      <c r="D175" s="263"/>
      <c r="E175" s="263"/>
      <c r="F175" s="263"/>
      <c r="G175" s="263"/>
      <c r="H175" s="263"/>
      <c r="I175" s="263"/>
      <c r="J175" s="263"/>
      <c r="K175" s="263"/>
      <c r="L175" s="263"/>
      <c r="M175" s="264"/>
      <c r="N175" s="264"/>
      <c r="O175" s="264"/>
      <c r="P175" s="264"/>
      <c r="Q175" s="265"/>
      <c r="R175" s="265"/>
      <c r="S175" s="265"/>
      <c r="T175" s="2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  <c r="AE175" s="65"/>
      <c r="AF175" s="65"/>
      <c r="AG175" s="65"/>
      <c r="AH175" s="65"/>
      <c r="AI175" s="65"/>
    </row>
    <row r="176" spans="1:35" s="45" customFormat="1" x14ac:dyDescent="0.25">
      <c r="A176" s="177"/>
      <c r="B176" s="178"/>
      <c r="C176" s="263"/>
      <c r="D176" s="263"/>
      <c r="E176" s="263"/>
      <c r="F176" s="263"/>
      <c r="G176" s="263"/>
      <c r="H176" s="263"/>
      <c r="I176" s="263"/>
      <c r="J176" s="263"/>
      <c r="K176" s="263"/>
      <c r="L176" s="263"/>
      <c r="M176" s="264"/>
      <c r="N176" s="264"/>
      <c r="O176" s="264"/>
      <c r="P176" s="264"/>
      <c r="Q176" s="265"/>
      <c r="R176" s="265"/>
      <c r="S176" s="265"/>
      <c r="T176" s="2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65"/>
      <c r="AF176" s="65"/>
      <c r="AG176" s="65"/>
      <c r="AH176" s="65"/>
      <c r="AI176" s="65"/>
    </row>
    <row r="177" spans="1:17" x14ac:dyDescent="0.25">
      <c r="C177" s="184"/>
    </row>
    <row r="178" spans="1:17" x14ac:dyDescent="0.25">
      <c r="C178" s="184"/>
    </row>
    <row r="179" spans="1:17" ht="30" x14ac:dyDescent="0.25">
      <c r="A179" s="106" t="s">
        <v>128</v>
      </c>
      <c r="B179" s="35"/>
      <c r="C179" s="216">
        <v>1</v>
      </c>
      <c r="D179" s="216">
        <f>1/(1+D174)</f>
        <v>0.94786729857819907</v>
      </c>
      <c r="E179" s="216">
        <f t="shared" ref="E179:Q179" si="92">1/(1+E174)</f>
        <v>0.94786729857819907</v>
      </c>
      <c r="F179" s="216">
        <f t="shared" si="92"/>
        <v>0.94786729857819907</v>
      </c>
      <c r="G179" s="216">
        <f t="shared" si="92"/>
        <v>0.94786729857819907</v>
      </c>
      <c r="H179" s="216">
        <f t="shared" si="92"/>
        <v>0.94786729857819907</v>
      </c>
      <c r="I179" s="216">
        <f t="shared" si="92"/>
        <v>0.94786729857819907</v>
      </c>
      <c r="J179" s="216">
        <f t="shared" si="92"/>
        <v>0.94786729857819907</v>
      </c>
      <c r="K179" s="216">
        <f t="shared" si="92"/>
        <v>0.94786729857819907</v>
      </c>
      <c r="L179" s="216">
        <f t="shared" si="92"/>
        <v>0.94786729857819907</v>
      </c>
      <c r="M179" s="216">
        <f t="shared" si="92"/>
        <v>0.94786729857819907</v>
      </c>
      <c r="N179" s="216">
        <f t="shared" si="92"/>
        <v>0.94786729857819907</v>
      </c>
      <c r="O179" s="216">
        <f t="shared" si="92"/>
        <v>0.94786729857819907</v>
      </c>
      <c r="P179" s="216">
        <f t="shared" si="92"/>
        <v>0.94786729857819907</v>
      </c>
      <c r="Q179" s="216">
        <f t="shared" si="92"/>
        <v>0.94786729857819907</v>
      </c>
    </row>
    <row r="180" spans="1:17" x14ac:dyDescent="0.25">
      <c r="A180" s="120" t="s">
        <v>127</v>
      </c>
      <c r="B180" s="35"/>
      <c r="C180" s="216">
        <f>C179</f>
        <v>1</v>
      </c>
      <c r="D180" s="216">
        <f>PRODUCT($C$179:D179)</f>
        <v>0.94786729857819907</v>
      </c>
      <c r="E180" s="216">
        <f>PRODUCT($C$179:E179)</f>
        <v>0.89845241571393275</v>
      </c>
      <c r="F180" s="216">
        <f>PRODUCT($C$179:F179)</f>
        <v>0.85161366418382256</v>
      </c>
      <c r="G180" s="216">
        <f>PRODUCT($C$179:G179)</f>
        <v>0.8072167433022015</v>
      </c>
      <c r="H180" s="216">
        <f>PRODUCT($C$179:H179)</f>
        <v>0.7651343538409493</v>
      </c>
      <c r="I180" s="216">
        <f>PRODUCT($C$179:I179)</f>
        <v>0.72524583302459655</v>
      </c>
      <c r="J180" s="216">
        <f>PRODUCT($C$179:J179)</f>
        <v>0.68743680855411993</v>
      </c>
      <c r="K180" s="216">
        <f>PRODUCT($C$179:K179)</f>
        <v>0.65159887066741229</v>
      </c>
      <c r="L180" s="216">
        <f>PRODUCT($C$179:L179)</f>
        <v>0.61762926129612539</v>
      </c>
      <c r="M180" s="216">
        <f>PRODUCT($C$179:M179)</f>
        <v>0.58543057942760701</v>
      </c>
      <c r="N180" s="216">
        <f>PRODUCT($C$179:N179)</f>
        <v>0.55491050182711565</v>
      </c>
      <c r="O180" s="216">
        <f>PRODUCT($C$179:O179)</f>
        <v>0.52598151831954087</v>
      </c>
      <c r="P180" s="216">
        <f>PRODUCT($C$179:P179)</f>
        <v>0.49856068087160271</v>
      </c>
      <c r="Q180" s="216">
        <f>PRODUCT($C$179:Q179)</f>
        <v>0.47256936575507369</v>
      </c>
    </row>
    <row r="181" spans="1:17" x14ac:dyDescent="0.25">
      <c r="C181" s="184"/>
    </row>
    <row r="182" spans="1:17" x14ac:dyDescent="0.25">
      <c r="A182" s="62" t="s">
        <v>132</v>
      </c>
      <c r="B182" s="41">
        <v>0</v>
      </c>
      <c r="C182" s="189"/>
      <c r="D182" s="189"/>
      <c r="E182" s="189"/>
      <c r="F182" s="189"/>
      <c r="G182" s="189"/>
      <c r="H182" s="189"/>
      <c r="I182" s="189"/>
      <c r="J182" s="189"/>
      <c r="K182" s="189"/>
      <c r="L182" s="189"/>
    </row>
    <row r="183" spans="1:17" x14ac:dyDescent="0.25">
      <c r="A183" s="62" t="s">
        <v>87</v>
      </c>
      <c r="B183" s="41">
        <v>1</v>
      </c>
      <c r="C183" s="189"/>
      <c r="D183" s="189"/>
      <c r="E183" s="189"/>
      <c r="F183" s="189"/>
      <c r="G183" s="189"/>
      <c r="H183" s="189"/>
      <c r="I183" s="189"/>
      <c r="J183" s="189"/>
      <c r="K183" s="189"/>
      <c r="L183" s="189"/>
    </row>
    <row r="184" spans="1:17" x14ac:dyDescent="0.25">
      <c r="A184" s="62" t="s">
        <v>88</v>
      </c>
      <c r="B184" s="41">
        <v>11</v>
      </c>
      <c r="C184" s="189"/>
      <c r="D184" s="189"/>
      <c r="E184" s="189"/>
      <c r="F184" s="189"/>
      <c r="G184" s="189" t="s">
        <v>77</v>
      </c>
      <c r="H184" s="189"/>
      <c r="I184" s="189"/>
      <c r="J184" s="189"/>
      <c r="K184" s="189"/>
      <c r="L184" s="189"/>
    </row>
    <row r="185" spans="1:17" x14ac:dyDescent="0.25">
      <c r="A185" s="62" t="s">
        <v>87</v>
      </c>
      <c r="B185" s="41">
        <v>1</v>
      </c>
      <c r="C185" s="189"/>
      <c r="D185" s="189"/>
      <c r="E185" s="189"/>
      <c r="F185" s="189"/>
      <c r="G185" s="189"/>
      <c r="H185" s="189"/>
      <c r="I185" s="189"/>
      <c r="J185" s="189"/>
      <c r="K185" s="189"/>
      <c r="L185" s="189"/>
    </row>
    <row r="186" spans="1:17" x14ac:dyDescent="0.25">
      <c r="A186" s="62"/>
      <c r="B186" s="41"/>
      <c r="C186" s="189"/>
      <c r="D186" s="189"/>
      <c r="E186" s="189"/>
      <c r="F186" s="189"/>
      <c r="G186" s="189"/>
      <c r="H186" s="189"/>
      <c r="I186" s="189"/>
      <c r="J186" s="189"/>
      <c r="K186" s="189"/>
      <c r="L186" s="189"/>
    </row>
    <row r="187" spans="1:17" x14ac:dyDescent="0.25">
      <c r="C187" s="189"/>
    </row>
    <row r="188" spans="1:17" x14ac:dyDescent="0.25">
      <c r="C188" s="189"/>
    </row>
    <row r="189" spans="1:17" x14ac:dyDescent="0.25">
      <c r="C189" s="189"/>
    </row>
    <row r="190" spans="1:17" x14ac:dyDescent="0.25">
      <c r="C190" s="189"/>
    </row>
    <row r="191" spans="1:17" x14ac:dyDescent="0.25">
      <c r="C191" s="189"/>
    </row>
    <row r="192" spans="1:17" x14ac:dyDescent="0.25">
      <c r="C192" s="189"/>
    </row>
    <row r="193" spans="3:3" x14ac:dyDescent="0.25">
      <c r="C193" s="189"/>
    </row>
    <row r="194" spans="3:3" x14ac:dyDescent="0.25">
      <c r="C194" s="189"/>
    </row>
    <row r="195" spans="3:3" x14ac:dyDescent="0.25">
      <c r="C195" s="189"/>
    </row>
    <row r="196" spans="3:3" x14ac:dyDescent="0.25">
      <c r="C196" s="189"/>
    </row>
    <row r="197" spans="3:3" x14ac:dyDescent="0.25">
      <c r="C197" s="189"/>
    </row>
    <row r="198" spans="3:3" x14ac:dyDescent="0.25">
      <c r="C198" s="189"/>
    </row>
    <row r="199" spans="3:3" x14ac:dyDescent="0.25">
      <c r="C199" s="189"/>
    </row>
    <row r="200" spans="3:3" x14ac:dyDescent="0.25">
      <c r="C200" s="189"/>
    </row>
    <row r="201" spans="3:3" x14ac:dyDescent="0.25">
      <c r="C201" s="189"/>
    </row>
    <row r="202" spans="3:3" x14ac:dyDescent="0.25">
      <c r="C202" s="189"/>
    </row>
    <row r="203" spans="3:3" x14ac:dyDescent="0.25">
      <c r="C203" s="189"/>
    </row>
    <row r="204" spans="3:3" x14ac:dyDescent="0.25">
      <c r="C204" s="189"/>
    </row>
    <row r="205" spans="3:3" x14ac:dyDescent="0.25">
      <c r="C205" s="189"/>
    </row>
    <row r="206" spans="3:3" x14ac:dyDescent="0.25">
      <c r="C206" s="189"/>
    </row>
    <row r="207" spans="3:3" x14ac:dyDescent="0.25">
      <c r="C207" s="189"/>
    </row>
    <row r="208" spans="3:3" x14ac:dyDescent="0.25">
      <c r="C208" s="189"/>
    </row>
  </sheetData>
  <conditionalFormatting sqref="G108:P110">
    <cfRule type="cellIs" dxfId="5" priority="3" operator="greaterThan">
      <formula>1.0501</formula>
    </cfRule>
  </conditionalFormatting>
  <conditionalFormatting sqref="B108:F110">
    <cfRule type="cellIs" dxfId="4" priority="1" operator="greaterThan">
      <formula>1.0801</formula>
    </cfRule>
  </conditionalFormatting>
  <pageMargins left="0.7" right="0.7" top="0.75" bottom="0.75" header="0.3" footer="0.3"/>
  <pageSetup paperSize="9" scale="33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249977111117893"/>
    <pageSetUpPr fitToPage="1"/>
  </sheetPr>
  <dimension ref="A2:AE140"/>
  <sheetViews>
    <sheetView topLeftCell="A97" workbookViewId="0">
      <pane xSplit="5" topLeftCell="F1" activePane="topRight" state="frozen"/>
      <selection pane="topRight" sqref="A1:V111"/>
    </sheetView>
  </sheetViews>
  <sheetFormatPr defaultColWidth="8.85546875" defaultRowHeight="15" x14ac:dyDescent="0.25"/>
  <cols>
    <col min="1" max="1" width="6.28515625" customWidth="1"/>
    <col min="2" max="2" width="37.85546875" customWidth="1"/>
    <col min="3" max="3" width="14.7109375" customWidth="1"/>
    <col min="4" max="19" width="8.7109375" style="189" customWidth="1"/>
    <col min="20" max="20" width="0.140625" hidden="1" customWidth="1"/>
    <col min="21" max="22" width="51.28515625" hidden="1" customWidth="1"/>
    <col min="23" max="23" width="6.85546875" customWidth="1"/>
    <col min="24" max="24" width="8.85546875" customWidth="1"/>
  </cols>
  <sheetData>
    <row r="2" spans="1:24" x14ac:dyDescent="0.25">
      <c r="A2" s="389" t="s">
        <v>0</v>
      </c>
      <c r="B2" s="390" t="s">
        <v>1</v>
      </c>
      <c r="C2" s="390" t="s">
        <v>2</v>
      </c>
      <c r="D2" s="391"/>
      <c r="E2" s="386" t="s">
        <v>45</v>
      </c>
      <c r="F2" s="387"/>
      <c r="G2" s="387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</row>
    <row r="3" spans="1:24" ht="28.5" customHeight="1" x14ac:dyDescent="0.25">
      <c r="A3" s="389"/>
      <c r="B3" s="390"/>
      <c r="C3" s="390"/>
      <c r="D3" s="392"/>
      <c r="E3" s="387"/>
      <c r="F3" s="387"/>
      <c r="G3" s="387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</row>
    <row r="4" spans="1:24" x14ac:dyDescent="0.25">
      <c r="A4" s="389"/>
      <c r="B4" s="390"/>
      <c r="C4" s="390"/>
      <c r="D4" s="267" t="s">
        <v>234</v>
      </c>
      <c r="E4" s="248">
        <v>2016</v>
      </c>
      <c r="F4" s="248">
        <v>2017</v>
      </c>
      <c r="G4" s="248">
        <v>2018</v>
      </c>
      <c r="H4" s="248">
        <v>2019</v>
      </c>
      <c r="I4" s="248">
        <v>2020</v>
      </c>
      <c r="J4" s="248">
        <v>2021</v>
      </c>
      <c r="K4" s="248">
        <v>2022</v>
      </c>
      <c r="L4" s="248">
        <v>2023</v>
      </c>
      <c r="M4" s="248">
        <v>2024</v>
      </c>
      <c r="N4" s="248">
        <v>2025</v>
      </c>
      <c r="O4" s="248">
        <v>2026</v>
      </c>
      <c r="P4" s="248">
        <v>2027</v>
      </c>
      <c r="Q4" s="248">
        <v>2028</v>
      </c>
      <c r="R4" s="248">
        <v>2029</v>
      </c>
      <c r="S4" s="248">
        <v>2030</v>
      </c>
      <c r="T4" s="27">
        <v>2031</v>
      </c>
      <c r="U4" s="27">
        <v>2032</v>
      </c>
      <c r="V4" s="27">
        <v>2033</v>
      </c>
    </row>
    <row r="5" spans="1:24" x14ac:dyDescent="0.25">
      <c r="A5" s="4" t="s">
        <v>3</v>
      </c>
      <c r="B5" s="2" t="str">
        <f>'Исходные данные тепло'!A2</f>
        <v>Выработано тепловой энергии всего:</v>
      </c>
      <c r="C5" s="3" t="s">
        <v>147</v>
      </c>
      <c r="D5" s="268">
        <f>'Исходные данные тепло'!F2</f>
        <v>16579.5</v>
      </c>
      <c r="E5" s="206">
        <f>D5</f>
        <v>16579.5</v>
      </c>
      <c r="F5" s="206">
        <f>F7+F6</f>
        <v>16494.473743892297</v>
      </c>
      <c r="G5" s="206">
        <f t="shared" ref="G5:S5" si="0">G7+G6</f>
        <v>16494.473743892297</v>
      </c>
      <c r="H5" s="206">
        <f t="shared" si="0"/>
        <v>16494.473743892297</v>
      </c>
      <c r="I5" s="206">
        <f t="shared" si="0"/>
        <v>16494.473743892297</v>
      </c>
      <c r="J5" s="206">
        <f t="shared" si="0"/>
        <v>16494.473743892297</v>
      </c>
      <c r="K5" s="206">
        <f t="shared" si="0"/>
        <v>16494.473743892297</v>
      </c>
      <c r="L5" s="206">
        <f t="shared" si="0"/>
        <v>16494.473743892297</v>
      </c>
      <c r="M5" s="206">
        <f t="shared" si="0"/>
        <v>16494.473743892297</v>
      </c>
      <c r="N5" s="206">
        <f t="shared" si="0"/>
        <v>16494.473743892297</v>
      </c>
      <c r="O5" s="206">
        <f t="shared" si="0"/>
        <v>16494.473743892297</v>
      </c>
      <c r="P5" s="206">
        <f t="shared" si="0"/>
        <v>16494.473743892297</v>
      </c>
      <c r="Q5" s="206">
        <f t="shared" si="0"/>
        <v>16494.473743892297</v>
      </c>
      <c r="R5" s="206">
        <f t="shared" si="0"/>
        <v>16494.473743892297</v>
      </c>
      <c r="S5" s="206">
        <f t="shared" si="0"/>
        <v>16494.473743892297</v>
      </c>
      <c r="T5" s="21" t="e">
        <f t="shared" ref="T5:V5" ca="1" si="1">T7-T6</f>
        <v>#DIV/0!</v>
      </c>
      <c r="U5" s="21" t="e">
        <f t="shared" ca="1" si="1"/>
        <v>#DIV/0!</v>
      </c>
      <c r="V5" s="21" t="e">
        <f t="shared" ca="1" si="1"/>
        <v>#DIV/0!</v>
      </c>
    </row>
    <row r="6" spans="1:24" x14ac:dyDescent="0.25">
      <c r="A6" s="4" t="s">
        <v>184</v>
      </c>
      <c r="B6" s="2" t="str">
        <f>'Исходные данные тепло'!A3</f>
        <v>в виде горячей воды</v>
      </c>
      <c r="C6" s="3" t="s">
        <v>147</v>
      </c>
      <c r="D6" s="268">
        <f>'Исходные данные тепло'!F3</f>
        <v>16579.5</v>
      </c>
      <c r="E6" s="206">
        <f t="shared" ref="E6:E10" si="2">D6</f>
        <v>16579.5</v>
      </c>
      <c r="F6" s="206">
        <f>F8</f>
        <v>16494.473743892297</v>
      </c>
      <c r="G6" s="206">
        <f t="shared" ref="G6:V6" si="3">F6</f>
        <v>16494.473743892297</v>
      </c>
      <c r="H6" s="206">
        <f t="shared" si="3"/>
        <v>16494.473743892297</v>
      </c>
      <c r="I6" s="206">
        <f t="shared" si="3"/>
        <v>16494.473743892297</v>
      </c>
      <c r="J6" s="206">
        <f t="shared" si="3"/>
        <v>16494.473743892297</v>
      </c>
      <c r="K6" s="206">
        <f t="shared" si="3"/>
        <v>16494.473743892297</v>
      </c>
      <c r="L6" s="206">
        <f t="shared" si="3"/>
        <v>16494.473743892297</v>
      </c>
      <c r="M6" s="206">
        <f t="shared" si="3"/>
        <v>16494.473743892297</v>
      </c>
      <c r="N6" s="206">
        <f t="shared" si="3"/>
        <v>16494.473743892297</v>
      </c>
      <c r="O6" s="269">
        <f t="shared" si="3"/>
        <v>16494.473743892297</v>
      </c>
      <c r="P6" s="269">
        <f t="shared" si="3"/>
        <v>16494.473743892297</v>
      </c>
      <c r="Q6" s="269">
        <f t="shared" si="3"/>
        <v>16494.473743892297</v>
      </c>
      <c r="R6" s="269">
        <f t="shared" si="3"/>
        <v>16494.473743892297</v>
      </c>
      <c r="S6" s="269">
        <f t="shared" si="3"/>
        <v>16494.473743892297</v>
      </c>
      <c r="T6" s="21">
        <f t="shared" si="3"/>
        <v>16494.473743892297</v>
      </c>
      <c r="U6" s="21">
        <f t="shared" si="3"/>
        <v>16494.473743892297</v>
      </c>
      <c r="V6" s="21">
        <f t="shared" si="3"/>
        <v>16494.473743892297</v>
      </c>
    </row>
    <row r="7" spans="1:24" x14ac:dyDescent="0.25">
      <c r="A7" s="4" t="s">
        <v>185</v>
      </c>
      <c r="B7" s="2" t="str">
        <f>'Исходные данные тепло'!A4</f>
        <v>в виде пара</v>
      </c>
      <c r="C7" s="3" t="s">
        <v>147</v>
      </c>
      <c r="D7" s="268">
        <f>'Исходные данные тепло'!F4</f>
        <v>0</v>
      </c>
      <c r="E7" s="206">
        <f t="shared" si="2"/>
        <v>0</v>
      </c>
      <c r="F7" s="206"/>
      <c r="G7" s="206"/>
      <c r="H7" s="206"/>
      <c r="I7" s="206"/>
      <c r="J7" s="206"/>
      <c r="K7" s="206"/>
      <c r="L7" s="206"/>
      <c r="M7" s="206"/>
      <c r="N7" s="206"/>
      <c r="O7" s="269"/>
      <c r="P7" s="269"/>
      <c r="Q7" s="269"/>
      <c r="R7" s="269"/>
      <c r="S7" s="269"/>
      <c r="T7" s="21" t="e">
        <f t="shared" ref="T7:V7" ca="1" si="4">T5+T6</f>
        <v>#DIV/0!</v>
      </c>
      <c r="U7" s="21" t="e">
        <f t="shared" ca="1" si="4"/>
        <v>#DIV/0!</v>
      </c>
      <c r="V7" s="21" t="e">
        <f t="shared" ca="1" si="4"/>
        <v>#DIV/0!</v>
      </c>
    </row>
    <row r="8" spans="1:24" x14ac:dyDescent="0.25">
      <c r="A8" s="4" t="s">
        <v>5</v>
      </c>
      <c r="B8" s="2" t="str">
        <f>'Исходные данные тепло'!A5</f>
        <v>в том числе выработано на:</v>
      </c>
      <c r="C8" s="3" t="s">
        <v>147</v>
      </c>
      <c r="D8" s="268">
        <f>'Исходные данные тепло'!F5</f>
        <v>16579.5</v>
      </c>
      <c r="E8" s="206">
        <f t="shared" si="2"/>
        <v>16579.5</v>
      </c>
      <c r="F8" s="206">
        <f>SUM(F9:F13)</f>
        <v>16494.473743892297</v>
      </c>
      <c r="G8" s="206">
        <f t="shared" ref="G8:N8" si="5">SUM(G9:G13)</f>
        <v>16494.473743892297</v>
      </c>
      <c r="H8" s="206">
        <f t="shared" si="5"/>
        <v>16494.473743892297</v>
      </c>
      <c r="I8" s="206">
        <f t="shared" si="5"/>
        <v>16494.473743892297</v>
      </c>
      <c r="J8" s="206">
        <f t="shared" si="5"/>
        <v>16494.473743892297</v>
      </c>
      <c r="K8" s="206">
        <f t="shared" si="5"/>
        <v>16494.473743892297</v>
      </c>
      <c r="L8" s="206">
        <f t="shared" si="5"/>
        <v>16494.473743892297</v>
      </c>
      <c r="M8" s="206">
        <f t="shared" si="5"/>
        <v>16494.473743892297</v>
      </c>
      <c r="N8" s="206">
        <f t="shared" si="5"/>
        <v>16494.473743892297</v>
      </c>
      <c r="O8" s="269">
        <f t="shared" ref="G8:V10" si="6">N8</f>
        <v>16494.473743892297</v>
      </c>
      <c r="P8" s="269">
        <f t="shared" si="6"/>
        <v>16494.473743892297</v>
      </c>
      <c r="Q8" s="269">
        <f t="shared" si="6"/>
        <v>16494.473743892297</v>
      </c>
      <c r="R8" s="269">
        <f t="shared" si="6"/>
        <v>16494.473743892297</v>
      </c>
      <c r="S8" s="269">
        <f t="shared" si="6"/>
        <v>16494.473743892297</v>
      </c>
      <c r="T8" s="21">
        <f t="shared" si="6"/>
        <v>16494.473743892297</v>
      </c>
      <c r="U8" s="21">
        <f t="shared" si="6"/>
        <v>16494.473743892297</v>
      </c>
      <c r="V8" s="21">
        <f t="shared" si="6"/>
        <v>16494.473743892297</v>
      </c>
    </row>
    <row r="9" spans="1:24" x14ac:dyDescent="0.25">
      <c r="A9" s="4" t="s">
        <v>186</v>
      </c>
      <c r="B9" s="2" t="str">
        <f>'Исходные данные тепло'!A6</f>
        <v>на газовом топливе</v>
      </c>
      <c r="C9" s="3" t="s">
        <v>147</v>
      </c>
      <c r="D9" s="268">
        <f>'Исходные данные тепло'!F6</f>
        <v>16579.5</v>
      </c>
      <c r="E9" s="206">
        <f t="shared" si="2"/>
        <v>16579.5</v>
      </c>
      <c r="F9" s="206">
        <f>F16+F18+F14</f>
        <v>16494.473743892297</v>
      </c>
      <c r="G9" s="206">
        <f t="shared" ref="G9:X9" si="7">G16+G18+G14</f>
        <v>16494.473743892297</v>
      </c>
      <c r="H9" s="206">
        <f t="shared" si="7"/>
        <v>16494.473743892297</v>
      </c>
      <c r="I9" s="206">
        <f t="shared" si="7"/>
        <v>16494.473743892297</v>
      </c>
      <c r="J9" s="206">
        <f t="shared" si="7"/>
        <v>16494.473743892297</v>
      </c>
      <c r="K9" s="206">
        <f t="shared" si="7"/>
        <v>16494.473743892297</v>
      </c>
      <c r="L9" s="206">
        <f t="shared" si="7"/>
        <v>16494.473743892297</v>
      </c>
      <c r="M9" s="206">
        <f t="shared" si="7"/>
        <v>16494.473743892297</v>
      </c>
      <c r="N9" s="206">
        <f t="shared" si="7"/>
        <v>16494.473743892297</v>
      </c>
      <c r="O9" s="206">
        <f t="shared" si="7"/>
        <v>16494.473743892297</v>
      </c>
      <c r="P9" s="206">
        <f t="shared" si="7"/>
        <v>16494.473743892297</v>
      </c>
      <c r="Q9" s="206">
        <f t="shared" si="7"/>
        <v>16494.473743892297</v>
      </c>
      <c r="R9" s="206">
        <f t="shared" si="7"/>
        <v>16494.473743892297</v>
      </c>
      <c r="S9" s="206">
        <f t="shared" si="7"/>
        <v>16494.473743892297</v>
      </c>
      <c r="T9" s="50" t="e">
        <f t="shared" ca="1" si="7"/>
        <v>#DIV/0!</v>
      </c>
      <c r="U9" s="50" t="e">
        <f t="shared" ca="1" si="7"/>
        <v>#DIV/0!</v>
      </c>
      <c r="V9" s="50" t="e">
        <f t="shared" ca="1" si="7"/>
        <v>#DIV/0!</v>
      </c>
      <c r="W9" s="50">
        <f t="shared" si="7"/>
        <v>0</v>
      </c>
      <c r="X9" s="50">
        <f t="shared" si="7"/>
        <v>0</v>
      </c>
    </row>
    <row r="10" spans="1:24" x14ac:dyDescent="0.25">
      <c r="A10" s="6" t="s">
        <v>187</v>
      </c>
      <c r="B10" s="2" t="str">
        <f>'Исходные данные тепло'!A7</f>
        <v>на мазуте</v>
      </c>
      <c r="C10" s="3" t="s">
        <v>147</v>
      </c>
      <c r="D10" s="268">
        <f>'Исходные данные тепло'!F7</f>
        <v>0</v>
      </c>
      <c r="E10" s="206">
        <f t="shared" si="2"/>
        <v>0</v>
      </c>
      <c r="F10" s="270">
        <v>0</v>
      </c>
      <c r="G10" s="270">
        <f t="shared" si="6"/>
        <v>0</v>
      </c>
      <c r="H10" s="270">
        <f t="shared" si="6"/>
        <v>0</v>
      </c>
      <c r="I10" s="270">
        <f t="shared" si="6"/>
        <v>0</v>
      </c>
      <c r="J10" s="270">
        <f t="shared" si="6"/>
        <v>0</v>
      </c>
      <c r="K10" s="270">
        <f t="shared" si="6"/>
        <v>0</v>
      </c>
      <c r="L10" s="270">
        <f t="shared" si="6"/>
        <v>0</v>
      </c>
      <c r="M10" s="270">
        <f t="shared" si="6"/>
        <v>0</v>
      </c>
      <c r="N10" s="270">
        <f t="shared" si="6"/>
        <v>0</v>
      </c>
      <c r="O10" s="270">
        <f t="shared" ref="O10:O13" si="8">N10</f>
        <v>0</v>
      </c>
      <c r="P10" s="270">
        <f t="shared" ref="P10:P13" si="9">O10</f>
        <v>0</v>
      </c>
      <c r="Q10" s="270">
        <f t="shared" ref="Q10:Q13" si="10">P10</f>
        <v>0</v>
      </c>
      <c r="R10" s="270">
        <f t="shared" ref="R10:R13" si="11">Q10</f>
        <v>0</v>
      </c>
      <c r="S10" s="270">
        <f t="shared" ref="S10:S13" si="12">R10</f>
        <v>0</v>
      </c>
      <c r="T10" s="47" t="e">
        <f t="shared" ref="T10" ca="1" si="13">T9/T7</f>
        <v>#DIV/0!</v>
      </c>
      <c r="U10" s="47" t="e">
        <f t="shared" ref="U10" ca="1" si="14">U9/U7</f>
        <v>#DIV/0!</v>
      </c>
      <c r="V10" s="47" t="e">
        <f t="shared" ref="V10" ca="1" si="15">V9/V7</f>
        <v>#DIV/0!</v>
      </c>
    </row>
    <row r="11" spans="1:24" x14ac:dyDescent="0.25">
      <c r="A11" s="4" t="s">
        <v>188</v>
      </c>
      <c r="B11" s="2" t="str">
        <f>'Исходные данные тепло'!A8</f>
        <v>на дизельном топливе</v>
      </c>
      <c r="C11" s="3" t="s">
        <v>147</v>
      </c>
      <c r="D11" s="268">
        <f>'Исходные данные тепло'!F8</f>
        <v>0</v>
      </c>
      <c r="E11" s="270">
        <f t="shared" ref="E11:N13" si="16">D11</f>
        <v>0</v>
      </c>
      <c r="F11" s="270">
        <f t="shared" si="16"/>
        <v>0</v>
      </c>
      <c r="G11" s="270">
        <f t="shared" si="16"/>
        <v>0</v>
      </c>
      <c r="H11" s="270">
        <f t="shared" si="16"/>
        <v>0</v>
      </c>
      <c r="I11" s="270">
        <f t="shared" si="16"/>
        <v>0</v>
      </c>
      <c r="J11" s="270">
        <f t="shared" si="16"/>
        <v>0</v>
      </c>
      <c r="K11" s="270">
        <f t="shared" si="16"/>
        <v>0</v>
      </c>
      <c r="L11" s="270">
        <f t="shared" si="16"/>
        <v>0</v>
      </c>
      <c r="M11" s="270">
        <f t="shared" si="16"/>
        <v>0</v>
      </c>
      <c r="N11" s="270">
        <f t="shared" si="16"/>
        <v>0</v>
      </c>
      <c r="O11" s="270">
        <f t="shared" si="8"/>
        <v>0</v>
      </c>
      <c r="P11" s="270">
        <f t="shared" si="9"/>
        <v>0</v>
      </c>
      <c r="Q11" s="270">
        <f t="shared" si="10"/>
        <v>0</v>
      </c>
      <c r="R11" s="270">
        <f t="shared" si="11"/>
        <v>0</v>
      </c>
      <c r="S11" s="270">
        <f t="shared" si="12"/>
        <v>0</v>
      </c>
      <c r="T11" s="47"/>
      <c r="U11" s="47"/>
      <c r="V11" s="47"/>
    </row>
    <row r="12" spans="1:24" x14ac:dyDescent="0.25">
      <c r="A12" s="6" t="s">
        <v>189</v>
      </c>
      <c r="B12" s="2" t="str">
        <f>'Исходные данные тепло'!A9</f>
        <v>на твердом топливе</v>
      </c>
      <c r="C12" s="3" t="s">
        <v>147</v>
      </c>
      <c r="D12" s="268">
        <f>'Исходные данные тепло'!F9</f>
        <v>0</v>
      </c>
      <c r="E12" s="270">
        <f>D12</f>
        <v>0</v>
      </c>
      <c r="F12" s="270">
        <v>0</v>
      </c>
      <c r="G12" s="270">
        <f t="shared" si="16"/>
        <v>0</v>
      </c>
      <c r="H12" s="270">
        <f t="shared" si="16"/>
        <v>0</v>
      </c>
      <c r="I12" s="270">
        <f t="shared" si="16"/>
        <v>0</v>
      </c>
      <c r="J12" s="270">
        <f t="shared" si="16"/>
        <v>0</v>
      </c>
      <c r="K12" s="270">
        <f t="shared" si="16"/>
        <v>0</v>
      </c>
      <c r="L12" s="270">
        <f t="shared" si="16"/>
        <v>0</v>
      </c>
      <c r="M12" s="270">
        <f t="shared" si="16"/>
        <v>0</v>
      </c>
      <c r="N12" s="270">
        <f t="shared" si="16"/>
        <v>0</v>
      </c>
      <c r="O12" s="270">
        <f t="shared" si="8"/>
        <v>0</v>
      </c>
      <c r="P12" s="270">
        <f t="shared" si="9"/>
        <v>0</v>
      </c>
      <c r="Q12" s="270">
        <f t="shared" si="10"/>
        <v>0</v>
      </c>
      <c r="R12" s="270">
        <f t="shared" si="11"/>
        <v>0</v>
      </c>
      <c r="S12" s="270">
        <f t="shared" si="12"/>
        <v>0</v>
      </c>
      <c r="T12" s="47"/>
      <c r="U12" s="47"/>
      <c r="V12" s="47"/>
    </row>
    <row r="13" spans="1:24" x14ac:dyDescent="0.25">
      <c r="A13" s="4" t="s">
        <v>190</v>
      </c>
      <c r="B13" s="2" t="str">
        <f>'Исходные данные тепло'!A10</f>
        <v>на электрокотлах</v>
      </c>
      <c r="C13" s="3" t="s">
        <v>147</v>
      </c>
      <c r="D13" s="268">
        <f>'Исходные данные тепло'!F10</f>
        <v>0</v>
      </c>
      <c r="E13" s="270">
        <f t="shared" si="16"/>
        <v>0</v>
      </c>
      <c r="F13" s="270">
        <f t="shared" si="16"/>
        <v>0</v>
      </c>
      <c r="G13" s="270">
        <f t="shared" si="16"/>
        <v>0</v>
      </c>
      <c r="H13" s="270">
        <f t="shared" si="16"/>
        <v>0</v>
      </c>
      <c r="I13" s="270">
        <f t="shared" si="16"/>
        <v>0</v>
      </c>
      <c r="J13" s="270">
        <f t="shared" si="16"/>
        <v>0</v>
      </c>
      <c r="K13" s="270">
        <f t="shared" si="16"/>
        <v>0</v>
      </c>
      <c r="L13" s="270">
        <f t="shared" si="16"/>
        <v>0</v>
      </c>
      <c r="M13" s="270">
        <f t="shared" si="16"/>
        <v>0</v>
      </c>
      <c r="N13" s="270">
        <f t="shared" si="16"/>
        <v>0</v>
      </c>
      <c r="O13" s="270">
        <f t="shared" si="8"/>
        <v>0</v>
      </c>
      <c r="P13" s="270">
        <f t="shared" si="9"/>
        <v>0</v>
      </c>
      <c r="Q13" s="270">
        <f t="shared" si="10"/>
        <v>0</v>
      </c>
      <c r="R13" s="270">
        <f t="shared" si="11"/>
        <v>0</v>
      </c>
      <c r="S13" s="270">
        <f t="shared" si="12"/>
        <v>0</v>
      </c>
      <c r="T13" s="47"/>
      <c r="U13" s="47"/>
      <c r="V13" s="47"/>
    </row>
    <row r="14" spans="1:24" x14ac:dyDescent="0.25">
      <c r="A14" s="6" t="s">
        <v>6</v>
      </c>
      <c r="B14" s="2" t="str">
        <f>'Исходные данные тепло'!A11</f>
        <v>Собственные нужды котельной</v>
      </c>
      <c r="C14" s="3" t="s">
        <v>147</v>
      </c>
      <c r="D14" s="268">
        <f>'Исходные данные тепло'!F11</f>
        <v>0</v>
      </c>
      <c r="E14" s="270">
        <f>D14</f>
        <v>0</v>
      </c>
      <c r="F14" s="270">
        <f>'Исходные данные тепло'!H95</f>
        <v>0</v>
      </c>
      <c r="G14" s="270">
        <f>'Исходные данные тепло'!I95</f>
        <v>0</v>
      </c>
      <c r="H14" s="270">
        <f>'Исходные данные тепло'!J95</f>
        <v>0</v>
      </c>
      <c r="I14" s="270">
        <f>'Исходные данные тепло'!K95</f>
        <v>0</v>
      </c>
      <c r="J14" s="270">
        <f>'Исходные данные тепло'!L95</f>
        <v>0</v>
      </c>
      <c r="K14" s="270">
        <f>'Исходные данные тепло'!M95</f>
        <v>0</v>
      </c>
      <c r="L14" s="270">
        <f>'Исходные данные тепло'!N95</f>
        <v>0</v>
      </c>
      <c r="M14" s="270">
        <f>'Исходные данные тепло'!O95</f>
        <v>0</v>
      </c>
      <c r="N14" s="270">
        <f>'Исходные данные тепло'!P95</f>
        <v>0</v>
      </c>
      <c r="O14" s="270">
        <f>'Исходные данные тепло'!Q95</f>
        <v>0</v>
      </c>
      <c r="P14" s="270">
        <f>'Исходные данные тепло'!R95</f>
        <v>0</v>
      </c>
      <c r="Q14" s="270">
        <f>'Исходные данные тепло'!S95</f>
        <v>0</v>
      </c>
      <c r="R14" s="270">
        <f>'Исходные данные тепло'!T95</f>
        <v>0</v>
      </c>
      <c r="S14" s="270">
        <f>'Исходные данные тепло'!U95</f>
        <v>0</v>
      </c>
      <c r="T14" s="47"/>
      <c r="U14" s="47"/>
      <c r="V14" s="47"/>
    </row>
    <row r="15" spans="1:24" ht="30" x14ac:dyDescent="0.25">
      <c r="A15" s="6" t="s">
        <v>8</v>
      </c>
      <c r="B15" s="2" t="str">
        <f>'Исходные данные тепло'!A12</f>
        <v>Получено тепловой энергии со стороны</v>
      </c>
      <c r="C15" s="3" t="s">
        <v>147</v>
      </c>
      <c r="D15" s="268">
        <f>'Исходные данные тепло'!F12</f>
        <v>0</v>
      </c>
      <c r="E15" s="271">
        <f>D15</f>
        <v>0</v>
      </c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47"/>
      <c r="U15" s="47"/>
      <c r="V15" s="47"/>
    </row>
    <row r="16" spans="1:24" x14ac:dyDescent="0.25">
      <c r="A16" s="6" t="s">
        <v>9</v>
      </c>
      <c r="B16" s="2" t="str">
        <f>'Исходные данные тепло'!A13</f>
        <v>Потери тепловой энергии</v>
      </c>
      <c r="C16" s="3" t="s">
        <v>147</v>
      </c>
      <c r="D16" s="268">
        <f>'Исходные данные тепло'!F13</f>
        <v>1892.7</v>
      </c>
      <c r="E16" s="270">
        <f>D16</f>
        <v>1892.7</v>
      </c>
      <c r="F16" s="270">
        <f>F18/(1-F17)-F18</f>
        <v>1807.6737438922974</v>
      </c>
      <c r="G16" s="270">
        <f t="shared" ref="G16:S16" si="17">G18/(1-G17)-G18</f>
        <v>1807.6737438922974</v>
      </c>
      <c r="H16" s="270">
        <f t="shared" si="17"/>
        <v>1807.6737438922974</v>
      </c>
      <c r="I16" s="270">
        <f t="shared" si="17"/>
        <v>1807.6737438922974</v>
      </c>
      <c r="J16" s="270">
        <f t="shared" si="17"/>
        <v>1807.6737438922974</v>
      </c>
      <c r="K16" s="270">
        <f t="shared" si="17"/>
        <v>1807.6737438922974</v>
      </c>
      <c r="L16" s="270">
        <f t="shared" si="17"/>
        <v>1807.6737438922974</v>
      </c>
      <c r="M16" s="270">
        <f t="shared" si="17"/>
        <v>1807.6737438922974</v>
      </c>
      <c r="N16" s="270">
        <f t="shared" si="17"/>
        <v>1807.6737438922974</v>
      </c>
      <c r="O16" s="270">
        <f t="shared" si="17"/>
        <v>1807.6737438922974</v>
      </c>
      <c r="P16" s="270">
        <f t="shared" si="17"/>
        <v>1807.6737438922974</v>
      </c>
      <c r="Q16" s="270">
        <f t="shared" si="17"/>
        <v>1807.6737438922974</v>
      </c>
      <c r="R16" s="270">
        <f t="shared" si="17"/>
        <v>1807.6737438922974</v>
      </c>
      <c r="S16" s="270">
        <f t="shared" si="17"/>
        <v>1807.6737438922974</v>
      </c>
      <c r="T16" s="47"/>
      <c r="U16" s="47"/>
      <c r="V16" s="47"/>
    </row>
    <row r="17" spans="1:25" x14ac:dyDescent="0.25">
      <c r="A17" s="6" t="s">
        <v>191</v>
      </c>
      <c r="B17" s="2" t="str">
        <f>'Исходные данные тепло'!A14</f>
        <v>% потерь к отпуску в сеть</v>
      </c>
      <c r="C17" s="7" t="s">
        <v>7</v>
      </c>
      <c r="D17" s="273">
        <f>'Исходные данные тепло'!F14</f>
        <v>0.11415905184112911</v>
      </c>
      <c r="E17" s="272">
        <f>'Исходные данные тепло'!G96</f>
        <v>0.11415905184112911</v>
      </c>
      <c r="F17" s="272">
        <f>'Исходные данные тепло'!H96</f>
        <v>0.10959268976748394</v>
      </c>
      <c r="G17" s="272">
        <f>'Исходные данные тепло'!I96</f>
        <v>0.10959268976748394</v>
      </c>
      <c r="H17" s="272">
        <f>'Исходные данные тепло'!J96</f>
        <v>0.10959268976748394</v>
      </c>
      <c r="I17" s="272">
        <f>'Исходные данные тепло'!K96</f>
        <v>0.10959268976748394</v>
      </c>
      <c r="J17" s="272">
        <f>'Исходные данные тепло'!L96</f>
        <v>0.10959268976748394</v>
      </c>
      <c r="K17" s="272">
        <f>'Исходные данные тепло'!M96</f>
        <v>0.10959268976748394</v>
      </c>
      <c r="L17" s="272">
        <f>'Исходные данные тепло'!N96</f>
        <v>0.10959268976748394</v>
      </c>
      <c r="M17" s="272">
        <f>'Исходные данные тепло'!O96</f>
        <v>0.10959268976748394</v>
      </c>
      <c r="N17" s="272">
        <f>'Исходные данные тепло'!P96</f>
        <v>0.10959268976748394</v>
      </c>
      <c r="O17" s="272">
        <f>'Исходные данные тепло'!Q96</f>
        <v>0.10959268976748394</v>
      </c>
      <c r="P17" s="272">
        <f>'Исходные данные тепло'!R96</f>
        <v>0.10959268976748394</v>
      </c>
      <c r="Q17" s="272">
        <f>'Исходные данные тепло'!S96</f>
        <v>0.10959268976748394</v>
      </c>
      <c r="R17" s="272">
        <f>'Исходные данные тепло'!T96</f>
        <v>0.10959268976748394</v>
      </c>
      <c r="S17" s="272">
        <f>'Исходные данные тепло'!U96</f>
        <v>0.10959268976748394</v>
      </c>
      <c r="T17" s="47"/>
      <c r="U17" s="47"/>
      <c r="V17" s="47"/>
    </row>
    <row r="18" spans="1:25" ht="27" customHeight="1" x14ac:dyDescent="0.25">
      <c r="A18" s="76" t="s">
        <v>17</v>
      </c>
      <c r="B18" s="77" t="str">
        <f>'Исходные данные тепло'!A16</f>
        <v>Отпущено тепловой энергии всего</v>
      </c>
      <c r="C18" s="78" t="s">
        <v>147</v>
      </c>
      <c r="D18" s="274">
        <f>'Исходные данные тепло'!F16</f>
        <v>14686.8</v>
      </c>
      <c r="E18" s="275">
        <f>D18*'Исходные данные тепло'!G92</f>
        <v>14686.8</v>
      </c>
      <c r="F18" s="275">
        <f>E18*'Исходные данные тепло'!H92</f>
        <v>14686.8</v>
      </c>
      <c r="G18" s="275">
        <f>F18*'Исходные данные тепло'!I92</f>
        <v>14686.8</v>
      </c>
      <c r="H18" s="275">
        <f>G18*'Исходные данные тепло'!J92</f>
        <v>14686.8</v>
      </c>
      <c r="I18" s="275">
        <f>H18*'Исходные данные тепло'!K92</f>
        <v>14686.8</v>
      </c>
      <c r="J18" s="275">
        <f>I18*'Исходные данные тепло'!L92</f>
        <v>14686.8</v>
      </c>
      <c r="K18" s="275">
        <f>J18*'Исходные данные тепло'!M92</f>
        <v>14686.8</v>
      </c>
      <c r="L18" s="275">
        <f>K18*'Исходные данные тепло'!N92</f>
        <v>14686.8</v>
      </c>
      <c r="M18" s="275">
        <f>L18*'Исходные данные тепло'!O92</f>
        <v>14686.8</v>
      </c>
      <c r="N18" s="275">
        <f>M18*'Исходные данные тепло'!P92</f>
        <v>14686.8</v>
      </c>
      <c r="O18" s="275">
        <f>N18*'Исходные данные тепло'!Q92</f>
        <v>14686.8</v>
      </c>
      <c r="P18" s="275">
        <f>O18*'Исходные данные тепло'!R92</f>
        <v>14686.8</v>
      </c>
      <c r="Q18" s="275">
        <f>P18*'Исходные данные тепло'!S92</f>
        <v>14686.8</v>
      </c>
      <c r="R18" s="275">
        <f>Q18*'Исходные данные тепло'!T92</f>
        <v>14686.8</v>
      </c>
      <c r="S18" s="275">
        <f>R18*'Исходные данные тепло'!U92</f>
        <v>14686.8</v>
      </c>
      <c r="T18" s="79" t="e">
        <f t="shared" ref="T18:V18" ca="1" si="18">T7-T9-T8</f>
        <v>#DIV/0!</v>
      </c>
      <c r="U18" s="79" t="e">
        <f t="shared" ca="1" si="18"/>
        <v>#DIV/0!</v>
      </c>
      <c r="V18" s="79" t="e">
        <f t="shared" ca="1" si="18"/>
        <v>#DIV/0!</v>
      </c>
    </row>
    <row r="19" spans="1:25" ht="20.25" customHeight="1" x14ac:dyDescent="0.25">
      <c r="A19" s="8" t="s">
        <v>16</v>
      </c>
      <c r="B19" s="9" t="s">
        <v>15</v>
      </c>
      <c r="C19" s="16" t="s">
        <v>11</v>
      </c>
      <c r="D19" s="276">
        <f t="shared" ref="D19:V19" si="19">D21+D75+D76+D78</f>
        <v>26298.266919999998</v>
      </c>
      <c r="E19" s="277">
        <f>E21+E75+E76+E78</f>
        <v>26298.266919999998</v>
      </c>
      <c r="F19" s="277">
        <f t="shared" si="19"/>
        <v>28267.315110450669</v>
      </c>
      <c r="G19" s="277">
        <f t="shared" si="19"/>
        <v>29982.289729998261</v>
      </c>
      <c r="H19" s="277">
        <f t="shared" si="19"/>
        <v>30333.828513761382</v>
      </c>
      <c r="I19" s="277">
        <f t="shared" si="19"/>
        <v>30514.425796635092</v>
      </c>
      <c r="J19" s="277">
        <f t="shared" si="19"/>
        <v>30766.472585734271</v>
      </c>
      <c r="K19" s="277">
        <f t="shared" si="19"/>
        <v>31095.867288183777</v>
      </c>
      <c r="L19" s="277">
        <f t="shared" si="19"/>
        <v>31441.422767447457</v>
      </c>
      <c r="M19" s="277">
        <f t="shared" si="19"/>
        <v>31800.996737798381</v>
      </c>
      <c r="N19" s="277">
        <f t="shared" si="19"/>
        <v>32406.955811819029</v>
      </c>
      <c r="O19" s="277">
        <f t="shared" si="19"/>
        <v>26095.965883893979</v>
      </c>
      <c r="P19" s="277">
        <f t="shared" si="19"/>
        <v>26487.306510043509</v>
      </c>
      <c r="Q19" s="277">
        <f t="shared" si="19"/>
        <v>26899.227666639166</v>
      </c>
      <c r="R19" s="277">
        <f t="shared" si="19"/>
        <v>27301.662940065034</v>
      </c>
      <c r="S19" s="277">
        <f t="shared" si="19"/>
        <v>27711.391505684805</v>
      </c>
      <c r="T19" s="49" t="e">
        <f t="shared" ca="1" si="19"/>
        <v>#DIV/0!</v>
      </c>
      <c r="U19" s="49" t="e">
        <f t="shared" ca="1" si="19"/>
        <v>#DIV/0!</v>
      </c>
      <c r="V19" s="49" t="e">
        <f t="shared" ca="1" si="19"/>
        <v>#DIV/0!</v>
      </c>
    </row>
    <row r="20" spans="1:25" ht="29.25" customHeight="1" x14ac:dyDescent="0.25">
      <c r="A20" s="8"/>
      <c r="B20" s="9" t="s">
        <v>47</v>
      </c>
      <c r="C20" s="16"/>
      <c r="D20" s="278"/>
      <c r="E20" s="279"/>
      <c r="F20" s="203">
        <f t="shared" ref="F20:V20" si="20">F19/E19</f>
        <v>1.0748736864083313</v>
      </c>
      <c r="G20" s="203">
        <f t="shared" si="20"/>
        <v>1.0606698801370615</v>
      </c>
      <c r="H20" s="203">
        <f t="shared" si="20"/>
        <v>1.0117248811524691</v>
      </c>
      <c r="I20" s="203">
        <f t="shared" si="20"/>
        <v>1.0059536593869705</v>
      </c>
      <c r="J20" s="203">
        <f t="shared" si="20"/>
        <v>1.0082599223979818</v>
      </c>
      <c r="K20" s="203">
        <f t="shared" si="20"/>
        <v>1.010706287551542</v>
      </c>
      <c r="L20" s="203">
        <f t="shared" si="20"/>
        <v>1.0111125853497256</v>
      </c>
      <c r="M20" s="203">
        <f t="shared" si="20"/>
        <v>1.011436313585758</v>
      </c>
      <c r="N20" s="203">
        <f t="shared" si="20"/>
        <v>1.0190547195428126</v>
      </c>
      <c r="O20" s="203">
        <f t="shared" ref="O20" si="21">O19/N19</f>
        <v>0.80525816850642329</v>
      </c>
      <c r="P20" s="203">
        <f t="shared" ref="P20" si="22">P19/O19</f>
        <v>1.014996211594186</v>
      </c>
      <c r="Q20" s="203">
        <f t="shared" ref="Q20" si="23">Q19/P19</f>
        <v>1.0155516438200112</v>
      </c>
      <c r="R20" s="203">
        <f t="shared" ref="R20" si="24">R19/Q19</f>
        <v>1.014960848631538</v>
      </c>
      <c r="S20" s="203">
        <f t="shared" si="20"/>
        <v>1.015007458209386</v>
      </c>
      <c r="T20" s="44" t="e">
        <f t="shared" ca="1" si="20"/>
        <v>#DIV/0!</v>
      </c>
      <c r="U20" s="44" t="e">
        <f t="shared" ca="1" si="20"/>
        <v>#DIV/0!</v>
      </c>
      <c r="V20" s="44" t="e">
        <f t="shared" ca="1" si="20"/>
        <v>#DIV/0!</v>
      </c>
    </row>
    <row r="21" spans="1:25" x14ac:dyDescent="0.25">
      <c r="A21" s="10" t="s">
        <v>21</v>
      </c>
      <c r="B21" s="11" t="s">
        <v>20</v>
      </c>
      <c r="C21" s="13" t="s">
        <v>11</v>
      </c>
      <c r="D21" s="280">
        <f>D22+D53+D63+D26+D57</f>
        <v>18765.766919999998</v>
      </c>
      <c r="E21" s="206">
        <f>E22+E53+E63+E26+E57</f>
        <v>18765.766919999998</v>
      </c>
      <c r="F21" s="206">
        <f t="shared" ref="F21:S21" si="25">F22+F53+F63+F26+F57+F72</f>
        <v>19966.71759479295</v>
      </c>
      <c r="G21" s="206">
        <f t="shared" si="25"/>
        <v>21246.534825641036</v>
      </c>
      <c r="H21" s="206">
        <f t="shared" si="25"/>
        <v>21554.056030341908</v>
      </c>
      <c r="I21" s="206">
        <f t="shared" si="25"/>
        <v>21841.449720957818</v>
      </c>
      <c r="J21" s="206">
        <f t="shared" si="25"/>
        <v>22150.483152188011</v>
      </c>
      <c r="K21" s="206">
        <f t="shared" si="25"/>
        <v>22486.813023231909</v>
      </c>
      <c r="L21" s="206">
        <f t="shared" si="25"/>
        <v>22839.220884894759</v>
      </c>
      <c r="M21" s="206">
        <f t="shared" si="25"/>
        <v>23205.670720284514</v>
      </c>
      <c r="N21" s="206">
        <f>N22+N53+N63+N26+N57+N72</f>
        <v>23818.645703283168</v>
      </c>
      <c r="O21" s="206">
        <f t="shared" si="25"/>
        <v>24156.733882306584</v>
      </c>
      <c r="P21" s="206">
        <f t="shared" si="25"/>
        <v>24553.476550989886</v>
      </c>
      <c r="Q21" s="206">
        <f t="shared" si="25"/>
        <v>24965.767690811754</v>
      </c>
      <c r="R21" s="206">
        <f t="shared" si="25"/>
        <v>25368.608031048694</v>
      </c>
      <c r="S21" s="206">
        <f t="shared" si="25"/>
        <v>25778.770929352308</v>
      </c>
      <c r="T21" s="50" t="e">
        <f t="shared" ref="T21:V21" ca="1" si="26">T22+T53+T63</f>
        <v>#DIV/0!</v>
      </c>
      <c r="U21" s="50" t="e">
        <f t="shared" ca="1" si="26"/>
        <v>#DIV/0!</v>
      </c>
      <c r="V21" s="50" t="e">
        <f t="shared" ca="1" si="26"/>
        <v>#DIV/0!</v>
      </c>
    </row>
    <row r="22" spans="1:25" x14ac:dyDescent="0.25">
      <c r="A22" s="10" t="s">
        <v>22</v>
      </c>
      <c r="B22" s="12" t="s">
        <v>10</v>
      </c>
      <c r="C22" s="13" t="s">
        <v>11</v>
      </c>
      <c r="D22" s="280">
        <f>'Исходные данные тепло'!F23</f>
        <v>499.6</v>
      </c>
      <c r="E22" s="206">
        <f>D22</f>
        <v>499.6</v>
      </c>
      <c r="F22" s="206">
        <f>E22*F23*F24*F25</f>
        <v>507.87337600000006</v>
      </c>
      <c r="G22" s="206">
        <f>F22*G23*G24*G25</f>
        <v>514.80584758240002</v>
      </c>
      <c r="H22" s="206">
        <f t="shared" ref="H22:V22" si="27">G22*H23*H24*H25</f>
        <v>524.18561012535133</v>
      </c>
      <c r="I22" s="206">
        <f t="shared" si="27"/>
        <v>540.73939169310984</v>
      </c>
      <c r="J22" s="206">
        <f t="shared" si="27"/>
        <v>556.20994568944957</v>
      </c>
      <c r="K22" s="206">
        <f t="shared" si="27"/>
        <v>571.57246438939217</v>
      </c>
      <c r="L22" s="206">
        <f t="shared" si="27"/>
        <v>587.3592958558271</v>
      </c>
      <c r="M22" s="206">
        <f t="shared" si="27"/>
        <v>602.41918820157059</v>
      </c>
      <c r="N22" s="206">
        <f t="shared" si="27"/>
        <v>617.26882119073935</v>
      </c>
      <c r="O22" s="206">
        <f t="shared" si="27"/>
        <v>631.87340150011232</v>
      </c>
      <c r="P22" s="206">
        <f t="shared" si="27"/>
        <v>646.19797151211981</v>
      </c>
      <c r="Q22" s="206">
        <f t="shared" si="27"/>
        <v>659.56780754270551</v>
      </c>
      <c r="R22" s="206">
        <f t="shared" si="27"/>
        <v>671.90832122182951</v>
      </c>
      <c r="S22" s="206">
        <f t="shared" si="27"/>
        <v>683.81453667388041</v>
      </c>
      <c r="T22" s="50">
        <f t="shared" si="27"/>
        <v>0</v>
      </c>
      <c r="U22" s="50">
        <f t="shared" si="27"/>
        <v>0</v>
      </c>
      <c r="V22" s="50">
        <f t="shared" si="27"/>
        <v>0</v>
      </c>
    </row>
    <row r="23" spans="1:25" x14ac:dyDescent="0.25">
      <c r="A23" s="10"/>
      <c r="B23" s="17" t="s">
        <v>37</v>
      </c>
      <c r="C23" s="13" t="s">
        <v>7</v>
      </c>
      <c r="D23" s="281"/>
      <c r="E23" s="282">
        <f>'Исходные данные общие'!B7</f>
        <v>1</v>
      </c>
      <c r="F23" s="283">
        <f>'Исходные данные общие'!C7</f>
        <v>0.97</v>
      </c>
      <c r="G23" s="283">
        <f>'Исходные данные общие'!D7</f>
        <v>0.97</v>
      </c>
      <c r="H23" s="283">
        <f>'Исходные данные общие'!E7</f>
        <v>0.98</v>
      </c>
      <c r="I23" s="283">
        <f>'Исходные данные общие'!F7</f>
        <v>0.99</v>
      </c>
      <c r="J23" s="283">
        <f>'Исходные данные общие'!G7</f>
        <v>0.99</v>
      </c>
      <c r="K23" s="283">
        <f>'Исходные данные общие'!H7</f>
        <v>0.99</v>
      </c>
      <c r="L23" s="283">
        <f>'Исходные данные общие'!I7</f>
        <v>0.99</v>
      </c>
      <c r="M23" s="283">
        <f>'Исходные данные общие'!J7</f>
        <v>0.99</v>
      </c>
      <c r="N23" s="283">
        <f>'Исходные данные общие'!K7</f>
        <v>0.99</v>
      </c>
      <c r="O23" s="284">
        <f>'Исходные данные общие'!L7</f>
        <v>0.99</v>
      </c>
      <c r="P23" s="284">
        <f>'Исходные данные общие'!M7</f>
        <v>0.99</v>
      </c>
      <c r="Q23" s="284">
        <f>'Исходные данные общие'!N7</f>
        <v>0.99</v>
      </c>
      <c r="R23" s="284">
        <f>'Исходные данные общие'!O7</f>
        <v>0.99</v>
      </c>
      <c r="S23" s="284">
        <f>'Исходные данные общие'!P7</f>
        <v>0.99</v>
      </c>
      <c r="T23" s="28">
        <f>'Исходные данные общие'!Q7</f>
        <v>0</v>
      </c>
      <c r="U23" s="28">
        <f>'Исходные данные общие'!R7</f>
        <v>0</v>
      </c>
      <c r="V23" s="28">
        <f>'Исходные данные общие'!S7</f>
        <v>0</v>
      </c>
    </row>
    <row r="24" spans="1:25" x14ac:dyDescent="0.25">
      <c r="A24" s="10"/>
      <c r="B24" s="17" t="s">
        <v>38</v>
      </c>
      <c r="C24" s="13" t="s">
        <v>7</v>
      </c>
      <c r="D24" s="281"/>
      <c r="E24" s="282">
        <f>1+'Исходные данные общие'!B2*0</f>
        <v>1</v>
      </c>
      <c r="F24" s="283">
        <f>1+'Исходные данные общие'!C2</f>
        <v>1.048</v>
      </c>
      <c r="G24" s="283">
        <f>1+'Исходные данные общие'!D2</f>
        <v>1.0449999999999999</v>
      </c>
      <c r="H24" s="283">
        <f>1+'Исходные данные общие'!E2</f>
        <v>1.0389999999999999</v>
      </c>
      <c r="I24" s="283">
        <f>1+'Исходные данные общие'!F2</f>
        <v>1.042</v>
      </c>
      <c r="J24" s="283">
        <f>1+'Исходные данные общие'!G2</f>
        <v>1.0389999999999999</v>
      </c>
      <c r="K24" s="283">
        <f>1+'Исходные данные общие'!H2</f>
        <v>1.038</v>
      </c>
      <c r="L24" s="283">
        <f>1+'Исходные данные общие'!I2</f>
        <v>1.038</v>
      </c>
      <c r="M24" s="283">
        <f>1+'Исходные данные общие'!J2</f>
        <v>1.036</v>
      </c>
      <c r="N24" s="283">
        <f>1+'Исходные данные общие'!K2</f>
        <v>1.0349999999999999</v>
      </c>
      <c r="O24" s="284">
        <f>1+'Исходные данные общие'!L2</f>
        <v>1.034</v>
      </c>
      <c r="P24" s="284">
        <f>1+'Исходные данные общие'!M2</f>
        <v>1.0329999999999999</v>
      </c>
      <c r="Q24" s="284">
        <f>1+'Исходные данные общие'!N2</f>
        <v>1.0309999999999999</v>
      </c>
      <c r="R24" s="284">
        <f>1+'Исходные данные общие'!O2</f>
        <v>1.0289999999999999</v>
      </c>
      <c r="S24" s="284">
        <f>1+'Исходные данные общие'!P2</f>
        <v>1.028</v>
      </c>
      <c r="T24" s="28">
        <f>1+'Исходные данные общие'!Q2</f>
        <v>1.05</v>
      </c>
      <c r="U24" s="28">
        <f>1+'Исходные данные общие'!R2</f>
        <v>1.05</v>
      </c>
      <c r="V24" s="28">
        <f>1+'Исходные данные общие'!S2</f>
        <v>1.05</v>
      </c>
    </row>
    <row r="25" spans="1:25" x14ac:dyDescent="0.25">
      <c r="A25" s="10"/>
      <c r="B25" s="17" t="s">
        <v>44</v>
      </c>
      <c r="C25" s="13" t="s">
        <v>7</v>
      </c>
      <c r="D25" s="281"/>
      <c r="E25" s="282">
        <v>1</v>
      </c>
      <c r="F25" s="283">
        <v>1</v>
      </c>
      <c r="G25" s="283">
        <v>1</v>
      </c>
      <c r="H25" s="283">
        <v>1</v>
      </c>
      <c r="I25" s="283">
        <v>1</v>
      </c>
      <c r="J25" s="283">
        <v>1</v>
      </c>
      <c r="K25" s="283">
        <v>1</v>
      </c>
      <c r="L25" s="283">
        <v>1</v>
      </c>
      <c r="M25" s="283">
        <v>1</v>
      </c>
      <c r="N25" s="283">
        <v>1</v>
      </c>
      <c r="O25" s="284">
        <v>1</v>
      </c>
      <c r="P25" s="284">
        <v>1</v>
      </c>
      <c r="Q25" s="284">
        <v>1</v>
      </c>
      <c r="R25" s="284">
        <v>1</v>
      </c>
      <c r="S25" s="284">
        <v>1</v>
      </c>
      <c r="T25" s="28">
        <v>1</v>
      </c>
      <c r="U25" s="28">
        <v>1</v>
      </c>
      <c r="V25" s="28">
        <v>1</v>
      </c>
      <c r="Y25" t="s">
        <v>77</v>
      </c>
    </row>
    <row r="26" spans="1:25" ht="33.75" customHeight="1" x14ac:dyDescent="0.25">
      <c r="A26" s="10"/>
      <c r="B26" s="17" t="str">
        <f>'Исходные данные тепло'!A27</f>
        <v>Топливо на технологические цели - всего</v>
      </c>
      <c r="C26" s="13" t="s">
        <v>11</v>
      </c>
      <c r="D26" s="280">
        <f>D28+D34+D40+D46</f>
        <v>13382.235000000001</v>
      </c>
      <c r="E26" s="280">
        <f>E28+E34+E40+E46</f>
        <v>13382.235000000001</v>
      </c>
      <c r="F26" s="206">
        <f t="shared" ref="F26:S26" si="28">F28+F34+F40+F46</f>
        <v>13648.073812477409</v>
      </c>
      <c r="G26" s="206">
        <f t="shared" si="28"/>
        <v>13921.035288726956</v>
      </c>
      <c r="H26" s="206">
        <f t="shared" si="28"/>
        <v>14199.455994501495</v>
      </c>
      <c r="I26" s="206">
        <f t="shared" si="28"/>
        <v>14521.382936379263</v>
      </c>
      <c r="J26" s="206">
        <f t="shared" si="28"/>
        <v>14850.608535046902</v>
      </c>
      <c r="K26" s="206">
        <f t="shared" si="28"/>
        <v>15187.298264045166</v>
      </c>
      <c r="L26" s="206">
        <f t="shared" si="28"/>
        <v>15531.621348494518</v>
      </c>
      <c r="M26" s="206">
        <f>M28+M34+M40+M46</f>
        <v>15883.750850150107</v>
      </c>
      <c r="N26" s="206">
        <f t="shared" si="28"/>
        <v>16514.318627679462</v>
      </c>
      <c r="O26" s="206">
        <f t="shared" si="28"/>
        <v>16915.797218333308</v>
      </c>
      <c r="P26" s="206">
        <f t="shared" si="28"/>
        <v>17293.316116297148</v>
      </c>
      <c r="Q26" s="206">
        <f t="shared" si="28"/>
        <v>17652.822731146629</v>
      </c>
      <c r="R26" s="206">
        <f t="shared" si="28"/>
        <v>18003.0079619766</v>
      </c>
      <c r="S26" s="206">
        <f t="shared" si="28"/>
        <v>18360.314698993454</v>
      </c>
      <c r="T26" s="28"/>
      <c r="U26" s="28"/>
      <c r="V26" s="28"/>
    </row>
    <row r="27" spans="1:25" x14ac:dyDescent="0.25">
      <c r="A27" s="10"/>
      <c r="B27" s="17" t="str">
        <f>'Исходные данные тепло'!A28</f>
        <v>в том числе по видам топлива:</v>
      </c>
      <c r="C27" s="13"/>
      <c r="D27" s="281"/>
      <c r="E27" s="221"/>
      <c r="F27" s="283" t="s">
        <v>77</v>
      </c>
      <c r="G27" s="283"/>
      <c r="H27" s="283"/>
      <c r="I27" s="283"/>
      <c r="J27" s="283"/>
      <c r="K27" s="283"/>
      <c r="L27" s="283"/>
      <c r="M27" s="283"/>
      <c r="N27" s="283"/>
      <c r="O27" s="284"/>
      <c r="P27" s="284"/>
      <c r="Q27" s="284"/>
      <c r="R27" s="284"/>
      <c r="S27" s="284"/>
      <c r="T27" s="28"/>
      <c r="U27" s="28"/>
      <c r="V27" s="28"/>
    </row>
    <row r="28" spans="1:25" x14ac:dyDescent="0.25">
      <c r="A28" s="10" t="s">
        <v>23</v>
      </c>
      <c r="B28" s="151" t="str">
        <f>'Исходные данные тепло'!A29</f>
        <v>газ</v>
      </c>
      <c r="C28" s="13" t="str">
        <f>'Исходные данные тепло'!B29</f>
        <v>тыс.руб.</v>
      </c>
      <c r="D28" s="281">
        <f>'Исходные данные тепло'!F29</f>
        <v>13382.235000000001</v>
      </c>
      <c r="E28" s="206">
        <f>E29*E30/1000</f>
        <v>13382.235000000001</v>
      </c>
      <c r="F28" s="206">
        <f>F29*F30/1000</f>
        <v>13648.073812477409</v>
      </c>
      <c r="G28" s="206">
        <f t="shared" ref="G28:S28" si="29">G29*G30/1000</f>
        <v>13921.035288726956</v>
      </c>
      <c r="H28" s="206">
        <f t="shared" si="29"/>
        <v>14199.455994501495</v>
      </c>
      <c r="I28" s="206">
        <f t="shared" si="29"/>
        <v>14521.382936379263</v>
      </c>
      <c r="J28" s="206">
        <f t="shared" si="29"/>
        <v>14850.608535046902</v>
      </c>
      <c r="K28" s="206">
        <f t="shared" si="29"/>
        <v>15187.298264045166</v>
      </c>
      <c r="L28" s="206">
        <f t="shared" si="29"/>
        <v>15531.621348494518</v>
      </c>
      <c r="M28" s="206">
        <f t="shared" si="29"/>
        <v>15883.750850150107</v>
      </c>
      <c r="N28" s="206">
        <f t="shared" si="29"/>
        <v>16514.318627679462</v>
      </c>
      <c r="O28" s="206">
        <f t="shared" si="29"/>
        <v>16915.797218333308</v>
      </c>
      <c r="P28" s="206">
        <f t="shared" si="29"/>
        <v>17293.316116297148</v>
      </c>
      <c r="Q28" s="206">
        <f t="shared" si="29"/>
        <v>17652.822731146629</v>
      </c>
      <c r="R28" s="206">
        <f t="shared" si="29"/>
        <v>18003.0079619766</v>
      </c>
      <c r="S28" s="206">
        <f t="shared" si="29"/>
        <v>18360.314698993454</v>
      </c>
      <c r="T28" s="28"/>
      <c r="U28" s="28"/>
      <c r="V28" s="28"/>
    </row>
    <row r="29" spans="1:25" x14ac:dyDescent="0.25">
      <c r="A29" s="10"/>
      <c r="B29" s="17" t="s">
        <v>195</v>
      </c>
      <c r="C29" s="13" t="str">
        <f>'Исходные данные тепло'!B30</f>
        <v>руб.</v>
      </c>
      <c r="D29" s="281">
        <f>'Исходные данные тепло'!F30</f>
        <v>4929</v>
      </c>
      <c r="E29" s="206">
        <f>D29</f>
        <v>4929</v>
      </c>
      <c r="F29" s="206">
        <f>E29*(1+'Исходные данные общие'!C6)</f>
        <v>5027.58</v>
      </c>
      <c r="G29" s="206">
        <f>F29*(1+'Исходные данные общие'!D6)</f>
        <v>5128.1315999999997</v>
      </c>
      <c r="H29" s="206">
        <f>G29*(1+'Исходные данные общие'!E6)</f>
        <v>5230.6942319999998</v>
      </c>
      <c r="I29" s="206">
        <f>H29*(1+'Исходные данные общие'!F6)</f>
        <v>5349.2833806728431</v>
      </c>
      <c r="J29" s="206">
        <f>I29*(1+'Исходные данные общие'!G6)</f>
        <v>5470.5611564301971</v>
      </c>
      <c r="K29" s="206">
        <f>J29*(1+'Исходные данные общие'!H6)</f>
        <v>5594.5885152337196</v>
      </c>
      <c r="L29" s="206">
        <f>K29*(1+'Исходные данные общие'!I6)</f>
        <v>5721.4277950252199</v>
      </c>
      <c r="M29" s="206">
        <f>L29*(1+'Исходные данные общие'!J6)</f>
        <v>5851.142747058605</v>
      </c>
      <c r="N29" s="206">
        <f>M29*(1+'Исходные данные общие'!K6)</f>
        <v>6083.4268034397137</v>
      </c>
      <c r="O29" s="206">
        <f>N29*(1+'Исходные данные общие'!L6)</f>
        <v>6231.3206205843808</v>
      </c>
      <c r="P29" s="206">
        <f>O29*(1+'Исходные данные общие'!M6)</f>
        <v>6370.3883371796601</v>
      </c>
      <c r="Q29" s="206">
        <f>P29*(1+'Исходные данные общие'!N6)</f>
        <v>6502.8208175075824</v>
      </c>
      <c r="R29" s="206">
        <f>Q29*(1+'Исходные данные общие'!O6)</f>
        <v>6631.819552934011</v>
      </c>
      <c r="S29" s="206">
        <f>R29*(1+'Исходные данные общие'!P6)</f>
        <v>6763.4416579704666</v>
      </c>
      <c r="T29" s="28"/>
      <c r="U29" s="28"/>
      <c r="V29" s="28"/>
    </row>
    <row r="30" spans="1:25" x14ac:dyDescent="0.25">
      <c r="A30" s="10"/>
      <c r="B30" s="17" t="str">
        <f>'Исходные данные тепло'!A31</f>
        <v>объем</v>
      </c>
      <c r="C30" s="13" t="str">
        <f>'Исходные данные тепло'!B31</f>
        <v>тыс.м3</v>
      </c>
      <c r="D30" s="281">
        <f>'Исходные данные тепло'!F31</f>
        <v>2715</v>
      </c>
      <c r="E30" s="206">
        <f>D30</f>
        <v>2715</v>
      </c>
      <c r="F30" s="206">
        <f>F32/F33*(F9-F14)/1000</f>
        <v>2714.6408038216018</v>
      </c>
      <c r="G30" s="206">
        <f t="shared" ref="G30:S30" si="30">G32/G33*(G9-G14)/1000</f>
        <v>2714.6408038216018</v>
      </c>
      <c r="H30" s="206">
        <f t="shared" si="30"/>
        <v>2714.6408038216018</v>
      </c>
      <c r="I30" s="206">
        <f t="shared" si="30"/>
        <v>2714.6408038216018</v>
      </c>
      <c r="J30" s="206">
        <f t="shared" si="30"/>
        <v>2714.6408038216018</v>
      </c>
      <c r="K30" s="206">
        <f t="shared" si="30"/>
        <v>2714.6408038216018</v>
      </c>
      <c r="L30" s="206">
        <f t="shared" si="30"/>
        <v>2714.6408038216018</v>
      </c>
      <c r="M30" s="206">
        <f t="shared" si="30"/>
        <v>2714.6408038216018</v>
      </c>
      <c r="N30" s="206">
        <f t="shared" si="30"/>
        <v>2714.6408038216018</v>
      </c>
      <c r="O30" s="206">
        <f t="shared" si="30"/>
        <v>2714.6408038216018</v>
      </c>
      <c r="P30" s="206">
        <f t="shared" si="30"/>
        <v>2714.6408038216018</v>
      </c>
      <c r="Q30" s="206">
        <f t="shared" si="30"/>
        <v>2714.6408038216018</v>
      </c>
      <c r="R30" s="206">
        <f t="shared" si="30"/>
        <v>2714.6408038216018</v>
      </c>
      <c r="S30" s="206">
        <f t="shared" si="30"/>
        <v>2714.6408038216018</v>
      </c>
      <c r="T30" s="28"/>
      <c r="U30" s="28"/>
      <c r="V30" s="28"/>
    </row>
    <row r="31" spans="1:25" x14ac:dyDescent="0.25">
      <c r="A31" s="10"/>
      <c r="B31" s="17" t="str">
        <f>'Исходные данные тепло'!A32</f>
        <v xml:space="preserve">удельный расход </v>
      </c>
      <c r="C31" s="13" t="str">
        <f>'Исходные данные тепло'!B32</f>
        <v>тыс.м3/Гкал</v>
      </c>
      <c r="D31" s="281">
        <f>'Исходные данные тепло'!F32</f>
        <v>155.28</v>
      </c>
      <c r="E31" s="221">
        <v>155.28</v>
      </c>
      <c r="F31" s="221">
        <v>155.28</v>
      </c>
      <c r="G31" s="221">
        <v>155.28</v>
      </c>
      <c r="H31" s="221">
        <v>155.28</v>
      </c>
      <c r="I31" s="221">
        <v>155.28</v>
      </c>
      <c r="J31" s="221">
        <v>155.28</v>
      </c>
      <c r="K31" s="221">
        <v>155.28</v>
      </c>
      <c r="L31" s="221">
        <v>155.28</v>
      </c>
      <c r="M31" s="221">
        <v>155.28</v>
      </c>
      <c r="N31" s="221">
        <v>155.28</v>
      </c>
      <c r="O31" s="221">
        <v>155.28</v>
      </c>
      <c r="P31" s="221">
        <v>155.28</v>
      </c>
      <c r="Q31" s="221">
        <v>155.28</v>
      </c>
      <c r="R31" s="221">
        <v>155.28</v>
      </c>
      <c r="S31" s="221">
        <v>155.28</v>
      </c>
      <c r="T31" s="28"/>
      <c r="U31" s="28"/>
      <c r="V31" s="28"/>
    </row>
    <row r="32" spans="1:25" x14ac:dyDescent="0.25">
      <c r="A32" s="10"/>
      <c r="B32" s="17" t="str">
        <f>'Исходные данные тепло'!A33</f>
        <v>т.у.т.</v>
      </c>
      <c r="C32" s="13" t="s">
        <v>169</v>
      </c>
      <c r="D32" s="281">
        <v>3014.59</v>
      </c>
      <c r="E32" s="241">
        <f>D32</f>
        <v>3014.59</v>
      </c>
      <c r="F32" s="241">
        <f>'Исходные данные тепло'!H97</f>
        <v>3014.59</v>
      </c>
      <c r="G32" s="241">
        <f>'Исходные данные тепло'!I97</f>
        <v>3014.59</v>
      </c>
      <c r="H32" s="241">
        <f>'Исходные данные тепло'!J97</f>
        <v>3014.59</v>
      </c>
      <c r="I32" s="241">
        <f>'Исходные данные тепло'!K97</f>
        <v>3014.59</v>
      </c>
      <c r="J32" s="241">
        <f>'Исходные данные тепло'!L97</f>
        <v>3014.59</v>
      </c>
      <c r="K32" s="241">
        <f>'Исходные данные тепло'!M97</f>
        <v>3014.59</v>
      </c>
      <c r="L32" s="241">
        <f>'Исходные данные тепло'!N97</f>
        <v>3014.59</v>
      </c>
      <c r="M32" s="241">
        <f>'Исходные данные тепло'!O97</f>
        <v>3014.59</v>
      </c>
      <c r="N32" s="241">
        <f>'Исходные данные тепло'!P97</f>
        <v>3014.59</v>
      </c>
      <c r="O32" s="206">
        <f>'Исходные данные тепло'!Q97</f>
        <v>3014.59</v>
      </c>
      <c r="P32" s="206">
        <f>'Исходные данные тепло'!R97</f>
        <v>3014.59</v>
      </c>
      <c r="Q32" s="206">
        <f>'Исходные данные тепло'!S97</f>
        <v>3014.59</v>
      </c>
      <c r="R32" s="206">
        <f>'Исходные данные тепло'!T97</f>
        <v>3014.59</v>
      </c>
      <c r="S32" s="206">
        <f>'Исходные данные тепло'!U97</f>
        <v>3014.59</v>
      </c>
      <c r="T32" s="50">
        <f>'Исходные данные тепло'!V97</f>
        <v>0</v>
      </c>
      <c r="U32" s="50">
        <f>'Исходные данные тепло'!W97</f>
        <v>0</v>
      </c>
      <c r="V32" s="50">
        <f>'Исходные данные тепло'!X97</f>
        <v>0</v>
      </c>
    </row>
    <row r="33" spans="1:27" x14ac:dyDescent="0.25">
      <c r="A33" s="10"/>
      <c r="B33" s="17" t="str">
        <f>'Исходные данные тепло'!A34</f>
        <v>коэффициент перевода</v>
      </c>
      <c r="C33" s="13"/>
      <c r="D33" s="281">
        <f>'Исходные данные тепло'!F34</f>
        <v>18.317</v>
      </c>
      <c r="E33" s="285">
        <v>18.317</v>
      </c>
      <c r="F33" s="285">
        <f>E33</f>
        <v>18.317</v>
      </c>
      <c r="G33" s="285">
        <f t="shared" ref="G33:N33" si="31">F33</f>
        <v>18.317</v>
      </c>
      <c r="H33" s="285">
        <f t="shared" si="31"/>
        <v>18.317</v>
      </c>
      <c r="I33" s="285">
        <f t="shared" si="31"/>
        <v>18.317</v>
      </c>
      <c r="J33" s="285">
        <f t="shared" si="31"/>
        <v>18.317</v>
      </c>
      <c r="K33" s="285">
        <f t="shared" si="31"/>
        <v>18.317</v>
      </c>
      <c r="L33" s="285">
        <f t="shared" si="31"/>
        <v>18.317</v>
      </c>
      <c r="M33" s="285">
        <f t="shared" si="31"/>
        <v>18.317</v>
      </c>
      <c r="N33" s="285">
        <f t="shared" si="31"/>
        <v>18.317</v>
      </c>
      <c r="O33" s="285">
        <f t="shared" ref="O33" si="32">N33</f>
        <v>18.317</v>
      </c>
      <c r="P33" s="285">
        <f t="shared" ref="P33" si="33">O33</f>
        <v>18.317</v>
      </c>
      <c r="Q33" s="285">
        <f t="shared" ref="Q33" si="34">P33</f>
        <v>18.317</v>
      </c>
      <c r="R33" s="285">
        <f t="shared" ref="R33" si="35">Q33</f>
        <v>18.317</v>
      </c>
      <c r="S33" s="285">
        <f t="shared" ref="S33" si="36">R33</f>
        <v>18.317</v>
      </c>
      <c r="T33" s="28"/>
      <c r="U33" s="28"/>
      <c r="V33" s="28"/>
    </row>
    <row r="34" spans="1:27" x14ac:dyDescent="0.25">
      <c r="A34" s="10" t="s">
        <v>24</v>
      </c>
      <c r="B34" s="151" t="str">
        <f>'Исходные данные тепло'!A35</f>
        <v>мазут</v>
      </c>
      <c r="C34" s="13" t="str">
        <f>'Исходные данные тепло'!B35</f>
        <v>тыс.руб.</v>
      </c>
      <c r="D34" s="281">
        <f>'Исходные данные тепло'!F35</f>
        <v>0</v>
      </c>
      <c r="E34" s="206">
        <f>E35*E36/1000</f>
        <v>0</v>
      </c>
      <c r="F34" s="206">
        <f t="shared" ref="F34:S34" si="37">F35*F36/1000</f>
        <v>0</v>
      </c>
      <c r="G34" s="206">
        <f t="shared" si="37"/>
        <v>0</v>
      </c>
      <c r="H34" s="206">
        <f t="shared" si="37"/>
        <v>0</v>
      </c>
      <c r="I34" s="206">
        <f t="shared" si="37"/>
        <v>0</v>
      </c>
      <c r="J34" s="206">
        <f t="shared" si="37"/>
        <v>0</v>
      </c>
      <c r="K34" s="206">
        <f t="shared" si="37"/>
        <v>0</v>
      </c>
      <c r="L34" s="206">
        <f t="shared" si="37"/>
        <v>0</v>
      </c>
      <c r="M34" s="206">
        <f t="shared" si="37"/>
        <v>0</v>
      </c>
      <c r="N34" s="206">
        <f t="shared" si="37"/>
        <v>0</v>
      </c>
      <c r="O34" s="206">
        <f t="shared" si="37"/>
        <v>0</v>
      </c>
      <c r="P34" s="206">
        <f t="shared" si="37"/>
        <v>0</v>
      </c>
      <c r="Q34" s="206">
        <f t="shared" si="37"/>
        <v>0</v>
      </c>
      <c r="R34" s="206">
        <f t="shared" si="37"/>
        <v>0</v>
      </c>
      <c r="S34" s="206">
        <f t="shared" si="37"/>
        <v>0</v>
      </c>
      <c r="T34" s="28"/>
      <c r="U34" s="28"/>
      <c r="V34" s="28"/>
    </row>
    <row r="35" spans="1:27" x14ac:dyDescent="0.25">
      <c r="A35" s="10"/>
      <c r="B35" s="17" t="s">
        <v>194</v>
      </c>
      <c r="C35" s="13" t="str">
        <f>'Исходные данные тепло'!B36</f>
        <v>руб.</v>
      </c>
      <c r="D35" s="281">
        <f>'Исходные данные тепло'!F36</f>
        <v>0</v>
      </c>
      <c r="E35" s="206">
        <f>D35</f>
        <v>0</v>
      </c>
      <c r="F35" s="206">
        <f>E35*(1+'Исходные данные общие'!C2)</f>
        <v>0</v>
      </c>
      <c r="G35" s="206">
        <f>F35*(1+'Исходные данные общие'!D2)</f>
        <v>0</v>
      </c>
      <c r="H35" s="206">
        <f>G35*(1+'Исходные данные общие'!E2)</f>
        <v>0</v>
      </c>
      <c r="I35" s="206">
        <f>H35*(1+'Исходные данные общие'!F2)</f>
        <v>0</v>
      </c>
      <c r="J35" s="206">
        <f>I35*(1+'Исходные данные общие'!G2)</f>
        <v>0</v>
      </c>
      <c r="K35" s="206">
        <f>J35*(1+'Исходные данные общие'!H2)</f>
        <v>0</v>
      </c>
      <c r="L35" s="206">
        <f>K35*(1+'Исходные данные общие'!I2)</f>
        <v>0</v>
      </c>
      <c r="M35" s="206">
        <f>L35*(1+'Исходные данные общие'!J2)</f>
        <v>0</v>
      </c>
      <c r="N35" s="206">
        <f>M35*(1+'Исходные данные общие'!K2)</f>
        <v>0</v>
      </c>
      <c r="O35" s="206">
        <f>N35*(1+'Исходные данные общие'!L2)</f>
        <v>0</v>
      </c>
      <c r="P35" s="206">
        <f>O35*(1+'Исходные данные общие'!M2)</f>
        <v>0</v>
      </c>
      <c r="Q35" s="206">
        <f>P35*(1+'Исходные данные общие'!N2)</f>
        <v>0</v>
      </c>
      <c r="R35" s="206">
        <f>Q35*(1+'Исходные данные общие'!O2)</f>
        <v>0</v>
      </c>
      <c r="S35" s="206">
        <f>R35*(1+'Исходные данные общие'!P2)</f>
        <v>0</v>
      </c>
      <c r="T35" s="50">
        <f>S35*(1+'Исходные данные общие'!Q2)</f>
        <v>0</v>
      </c>
      <c r="U35" s="50">
        <f>T35*(1+'Исходные данные общие'!R2)</f>
        <v>0</v>
      </c>
      <c r="V35" s="50">
        <f>U35*(1+'Исходные данные общие'!S2)</f>
        <v>0</v>
      </c>
      <c r="AA35" s="164"/>
    </row>
    <row r="36" spans="1:27" x14ac:dyDescent="0.25">
      <c r="A36" s="10"/>
      <c r="B36" s="17" t="str">
        <f>'Исходные данные тепло'!A37</f>
        <v>объем</v>
      </c>
      <c r="C36" s="13" t="str">
        <f>'Исходные данные тепло'!B37</f>
        <v>тн.</v>
      </c>
      <c r="D36" s="281">
        <f>'Исходные данные тепло'!F37</f>
        <v>0</v>
      </c>
      <c r="E36" s="206">
        <v>0</v>
      </c>
      <c r="F36" s="206">
        <v>0</v>
      </c>
      <c r="G36" s="206">
        <v>0</v>
      </c>
      <c r="H36" s="206">
        <v>0</v>
      </c>
      <c r="I36" s="206">
        <v>0</v>
      </c>
      <c r="J36" s="206">
        <v>0</v>
      </c>
      <c r="K36" s="206">
        <v>0</v>
      </c>
      <c r="L36" s="206">
        <v>0</v>
      </c>
      <c r="M36" s="206">
        <v>0</v>
      </c>
      <c r="N36" s="206">
        <v>0</v>
      </c>
      <c r="O36" s="206">
        <v>0</v>
      </c>
      <c r="P36" s="206">
        <v>0</v>
      </c>
      <c r="Q36" s="206">
        <v>0</v>
      </c>
      <c r="R36" s="206">
        <v>0</v>
      </c>
      <c r="S36" s="206">
        <v>0</v>
      </c>
      <c r="T36" s="28"/>
      <c r="U36" s="28"/>
      <c r="V36" s="28"/>
    </row>
    <row r="37" spans="1:27" x14ac:dyDescent="0.25">
      <c r="A37" s="10"/>
      <c r="B37" s="17" t="str">
        <f>'Исходные данные тепло'!A38</f>
        <v xml:space="preserve">удельный расход </v>
      </c>
      <c r="C37" s="13" t="str">
        <f>'Исходные данные тепло'!B38</f>
        <v>тн/Гкал</v>
      </c>
      <c r="D37" s="281">
        <f>'Исходные данные тепло'!F38</f>
        <v>0</v>
      </c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4"/>
      <c r="P37" s="284"/>
      <c r="Q37" s="284"/>
      <c r="R37" s="284"/>
      <c r="S37" s="284"/>
      <c r="T37" s="28"/>
      <c r="U37" s="28"/>
      <c r="V37" s="28"/>
    </row>
    <row r="38" spans="1:27" x14ac:dyDescent="0.25">
      <c r="A38" s="10"/>
      <c r="B38" s="17" t="str">
        <f>'Исходные данные тепло'!A39</f>
        <v>т.у.т.</v>
      </c>
      <c r="C38" s="13" t="str">
        <f>'Исходные данные тепло'!B39</f>
        <v>тн</v>
      </c>
      <c r="D38" s="281">
        <f>'Исходные данные тепло'!F39</f>
        <v>0</v>
      </c>
      <c r="E38" s="206">
        <f>'Исходные данные тепло'!F98</f>
        <v>0</v>
      </c>
      <c r="F38" s="206">
        <f>'Исходные данные тепло'!G98</f>
        <v>0</v>
      </c>
      <c r="G38" s="206">
        <f>'Исходные данные тепло'!H98</f>
        <v>0</v>
      </c>
      <c r="H38" s="206">
        <f>'Исходные данные тепло'!I98</f>
        <v>0</v>
      </c>
      <c r="I38" s="206">
        <f>'Исходные данные тепло'!J98</f>
        <v>0</v>
      </c>
      <c r="J38" s="206">
        <f>'Исходные данные тепло'!K98</f>
        <v>0</v>
      </c>
      <c r="K38" s="206">
        <f>'Исходные данные тепло'!L98</f>
        <v>0</v>
      </c>
      <c r="L38" s="206">
        <f>'Исходные данные тепло'!M98</f>
        <v>0</v>
      </c>
      <c r="M38" s="206">
        <f>'Исходные данные тепло'!N98</f>
        <v>0</v>
      </c>
      <c r="N38" s="206">
        <f>'Исходные данные тепло'!O98</f>
        <v>0</v>
      </c>
      <c r="O38" s="206">
        <f>'Исходные данные тепло'!P98</f>
        <v>0</v>
      </c>
      <c r="P38" s="206">
        <f>'Исходные данные тепло'!Q98</f>
        <v>0</v>
      </c>
      <c r="Q38" s="206">
        <f>'Исходные данные тепло'!R98</f>
        <v>0</v>
      </c>
      <c r="R38" s="206">
        <f>'Исходные данные тепло'!S98</f>
        <v>0</v>
      </c>
      <c r="S38" s="206">
        <f>'Исходные данные тепло'!T98</f>
        <v>0</v>
      </c>
      <c r="T38" s="50">
        <f>'Исходные данные тепло'!U98</f>
        <v>0</v>
      </c>
      <c r="U38" s="50">
        <f>'Исходные данные тепло'!V98</f>
        <v>0</v>
      </c>
      <c r="V38" s="50">
        <f>'Исходные данные тепло'!W98</f>
        <v>0</v>
      </c>
    </row>
    <row r="39" spans="1:27" x14ac:dyDescent="0.25">
      <c r="A39" s="10"/>
      <c r="B39" s="17" t="str">
        <f>'Исходные данные тепло'!A40</f>
        <v>коэффициент перевода</v>
      </c>
      <c r="C39" s="13"/>
      <c r="D39" s="281" t="e">
        <f>'Исходные данные тепло'!F40</f>
        <v>#DIV/0!</v>
      </c>
      <c r="E39" s="223" t="e">
        <f>D39</f>
        <v>#DIV/0!</v>
      </c>
      <c r="F39" s="223" t="e">
        <f t="shared" ref="F39:N39" si="38">E39</f>
        <v>#DIV/0!</v>
      </c>
      <c r="G39" s="223" t="e">
        <f t="shared" si="38"/>
        <v>#DIV/0!</v>
      </c>
      <c r="H39" s="223" t="e">
        <f t="shared" si="38"/>
        <v>#DIV/0!</v>
      </c>
      <c r="I39" s="223" t="e">
        <f t="shared" si="38"/>
        <v>#DIV/0!</v>
      </c>
      <c r="J39" s="223" t="e">
        <f t="shared" si="38"/>
        <v>#DIV/0!</v>
      </c>
      <c r="K39" s="223" t="e">
        <f t="shared" si="38"/>
        <v>#DIV/0!</v>
      </c>
      <c r="L39" s="223" t="e">
        <f t="shared" si="38"/>
        <v>#DIV/0!</v>
      </c>
      <c r="M39" s="223" t="e">
        <f t="shared" si="38"/>
        <v>#DIV/0!</v>
      </c>
      <c r="N39" s="223" t="e">
        <f t="shared" si="38"/>
        <v>#DIV/0!</v>
      </c>
      <c r="O39" s="223" t="e">
        <f t="shared" ref="O39" si="39">N39</f>
        <v>#DIV/0!</v>
      </c>
      <c r="P39" s="223" t="e">
        <f t="shared" ref="P39" si="40">O39</f>
        <v>#DIV/0!</v>
      </c>
      <c r="Q39" s="223" t="e">
        <f t="shared" ref="Q39" si="41">P39</f>
        <v>#DIV/0!</v>
      </c>
      <c r="R39" s="223" t="e">
        <f t="shared" ref="R39" si="42">Q39</f>
        <v>#DIV/0!</v>
      </c>
      <c r="S39" s="223" t="e">
        <f t="shared" ref="S39" si="43">R39</f>
        <v>#DIV/0!</v>
      </c>
      <c r="T39" s="28"/>
      <c r="U39" s="28"/>
      <c r="V39" s="28"/>
    </row>
    <row r="40" spans="1:27" x14ac:dyDescent="0.25">
      <c r="A40" s="10" t="s">
        <v>192</v>
      </c>
      <c r="B40" s="151" t="str">
        <f>'Исходные данные тепло'!A41</f>
        <v>дизельное топливо</v>
      </c>
      <c r="C40" s="13" t="str">
        <f>'Исходные данные тепло'!B41</f>
        <v>тыс.руб.</v>
      </c>
      <c r="D40" s="281">
        <f>'Исходные данные тепло'!F41</f>
        <v>0</v>
      </c>
      <c r="E40" s="206">
        <f>E41*E42/1000</f>
        <v>0</v>
      </c>
      <c r="F40" s="206">
        <f t="shared" ref="F40:S40" si="44">F41*F42/1000</f>
        <v>0</v>
      </c>
      <c r="G40" s="206">
        <f t="shared" si="44"/>
        <v>0</v>
      </c>
      <c r="H40" s="206">
        <f t="shared" si="44"/>
        <v>0</v>
      </c>
      <c r="I40" s="206">
        <f t="shared" si="44"/>
        <v>0</v>
      </c>
      <c r="J40" s="206">
        <f t="shared" si="44"/>
        <v>0</v>
      </c>
      <c r="K40" s="206">
        <f t="shared" si="44"/>
        <v>0</v>
      </c>
      <c r="L40" s="206">
        <f t="shared" si="44"/>
        <v>0</v>
      </c>
      <c r="M40" s="206">
        <f t="shared" si="44"/>
        <v>0</v>
      </c>
      <c r="N40" s="206">
        <f t="shared" si="44"/>
        <v>0</v>
      </c>
      <c r="O40" s="206">
        <f t="shared" si="44"/>
        <v>0</v>
      </c>
      <c r="P40" s="206">
        <f t="shared" si="44"/>
        <v>0</v>
      </c>
      <c r="Q40" s="206">
        <f t="shared" si="44"/>
        <v>0</v>
      </c>
      <c r="R40" s="206">
        <f t="shared" si="44"/>
        <v>0</v>
      </c>
      <c r="S40" s="206">
        <f t="shared" si="44"/>
        <v>0</v>
      </c>
      <c r="T40" s="28"/>
      <c r="U40" s="28"/>
      <c r="V40" s="28"/>
    </row>
    <row r="41" spans="1:27" x14ac:dyDescent="0.25">
      <c r="A41" s="10"/>
      <c r="B41" s="17" t="s">
        <v>194</v>
      </c>
      <c r="C41" s="13" t="str">
        <f>'Исходные данные тепло'!B42</f>
        <v>руб.</v>
      </c>
      <c r="D41" s="281">
        <f>'Исходные данные тепло'!F42</f>
        <v>0</v>
      </c>
      <c r="E41" s="283">
        <f>D41*(1+'Исходные данные общие'!B17)</f>
        <v>0</v>
      </c>
      <c r="F41" s="283"/>
      <c r="G41" s="283"/>
      <c r="H41" s="283"/>
      <c r="I41" s="283"/>
      <c r="J41" s="283"/>
      <c r="K41" s="283"/>
      <c r="L41" s="283"/>
      <c r="M41" s="283"/>
      <c r="N41" s="283"/>
      <c r="O41" s="284"/>
      <c r="P41" s="284"/>
      <c r="Q41" s="284"/>
      <c r="R41" s="284"/>
      <c r="S41" s="284"/>
      <c r="T41" s="28"/>
      <c r="U41" s="28"/>
      <c r="V41" s="28"/>
    </row>
    <row r="42" spans="1:27" x14ac:dyDescent="0.25">
      <c r="A42" s="10"/>
      <c r="B42" s="17" t="str">
        <f>'Исходные данные тепло'!A43</f>
        <v>объем</v>
      </c>
      <c r="C42" s="13" t="str">
        <f>'Исходные данные тепло'!B43</f>
        <v>тыс.т</v>
      </c>
      <c r="D42" s="281">
        <f>'Исходные данные тепло'!F43</f>
        <v>0</v>
      </c>
      <c r="E42" s="283">
        <f>E11</f>
        <v>0</v>
      </c>
      <c r="F42" s="283"/>
      <c r="G42" s="283"/>
      <c r="H42" s="283"/>
      <c r="I42" s="283"/>
      <c r="J42" s="283"/>
      <c r="K42" s="283"/>
      <c r="L42" s="283"/>
      <c r="M42" s="283"/>
      <c r="N42" s="283"/>
      <c r="O42" s="284"/>
      <c r="P42" s="284"/>
      <c r="Q42" s="284"/>
      <c r="R42" s="284"/>
      <c r="S42" s="284"/>
      <c r="T42" s="28"/>
      <c r="U42" s="28"/>
      <c r="V42" s="28"/>
    </row>
    <row r="43" spans="1:27" x14ac:dyDescent="0.25">
      <c r="A43" s="10"/>
      <c r="B43" s="17" t="str">
        <f>'Исходные данные тепло'!A44</f>
        <v xml:space="preserve">удельный расход </v>
      </c>
      <c r="C43" s="13" t="s">
        <v>170</v>
      </c>
      <c r="D43" s="281">
        <f>'Исходные данные тепло'!F44</f>
        <v>0</v>
      </c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4"/>
      <c r="P43" s="284"/>
      <c r="Q43" s="284"/>
      <c r="R43" s="284"/>
      <c r="S43" s="284"/>
      <c r="T43" s="28"/>
      <c r="U43" s="28"/>
      <c r="V43" s="28"/>
    </row>
    <row r="44" spans="1:27" x14ac:dyDescent="0.25">
      <c r="A44" s="10"/>
      <c r="B44" s="17" t="str">
        <f>'Исходные данные тепло'!A45</f>
        <v>т.у.т.</v>
      </c>
      <c r="C44" s="13" t="s">
        <v>173</v>
      </c>
      <c r="D44" s="281">
        <f>'Исходные данные тепло'!F45</f>
        <v>0</v>
      </c>
      <c r="E44" s="206">
        <f>'Исходные данные тепло'!F99</f>
        <v>0</v>
      </c>
      <c r="F44" s="206">
        <f>'Исходные данные тепло'!G99</f>
        <v>0</v>
      </c>
      <c r="G44" s="206">
        <f>'Исходные данные тепло'!H99</f>
        <v>0</v>
      </c>
      <c r="H44" s="206">
        <f>'Исходные данные тепло'!I99</f>
        <v>0</v>
      </c>
      <c r="I44" s="206">
        <f>'Исходные данные тепло'!J99</f>
        <v>0</v>
      </c>
      <c r="J44" s="206">
        <f>'Исходные данные тепло'!K99</f>
        <v>0</v>
      </c>
      <c r="K44" s="206">
        <f>'Исходные данные тепло'!L99</f>
        <v>0</v>
      </c>
      <c r="L44" s="206">
        <f>'Исходные данные тепло'!M99</f>
        <v>0</v>
      </c>
      <c r="M44" s="206">
        <f>'Исходные данные тепло'!N99</f>
        <v>0</v>
      </c>
      <c r="N44" s="206">
        <f>'Исходные данные тепло'!O99</f>
        <v>0</v>
      </c>
      <c r="O44" s="206">
        <f>'Исходные данные тепло'!P99</f>
        <v>0</v>
      </c>
      <c r="P44" s="206">
        <f>'Исходные данные тепло'!Q99</f>
        <v>0</v>
      </c>
      <c r="Q44" s="206">
        <f>'Исходные данные тепло'!R99</f>
        <v>0</v>
      </c>
      <c r="R44" s="206">
        <f>'Исходные данные тепло'!S99</f>
        <v>0</v>
      </c>
      <c r="S44" s="206">
        <f>'Исходные данные тепло'!T99</f>
        <v>0</v>
      </c>
      <c r="T44" s="28"/>
      <c r="U44" s="28"/>
      <c r="V44" s="28"/>
    </row>
    <row r="45" spans="1:27" x14ac:dyDescent="0.25">
      <c r="A45" s="10"/>
      <c r="B45" s="17" t="str">
        <f>'Исходные данные тепло'!A46</f>
        <v>коэффициент перевода</v>
      </c>
      <c r="C45" s="13">
        <f>'Исходные данные тепло'!B46</f>
        <v>0</v>
      </c>
      <c r="D45" s="280">
        <f>'Исходные данные тепло'!F46</f>
        <v>0</v>
      </c>
      <c r="E45" s="283">
        <f>D45</f>
        <v>0</v>
      </c>
      <c r="F45" s="283"/>
      <c r="G45" s="283"/>
      <c r="H45" s="283"/>
      <c r="I45" s="283"/>
      <c r="J45" s="283"/>
      <c r="K45" s="283"/>
      <c r="L45" s="283"/>
      <c r="M45" s="283"/>
      <c r="N45" s="283"/>
      <c r="O45" s="284"/>
      <c r="P45" s="284"/>
      <c r="Q45" s="284"/>
      <c r="R45" s="284"/>
      <c r="S45" s="284"/>
      <c r="T45" s="28"/>
      <c r="U45" s="28"/>
      <c r="V45" s="28"/>
    </row>
    <row r="46" spans="1:27" x14ac:dyDescent="0.25">
      <c r="A46" s="10" t="s">
        <v>193</v>
      </c>
      <c r="B46" s="151" t="str">
        <f>'Исходные данные тепло'!A47</f>
        <v>уголь</v>
      </c>
      <c r="C46" s="13" t="str">
        <f>'Исходные данные тепло'!B47</f>
        <v>тыс.руб.</v>
      </c>
      <c r="D46" s="281">
        <f>'Исходные данные тепло'!F47</f>
        <v>0</v>
      </c>
      <c r="E46" s="206">
        <f t="shared" ref="E46:S46" si="45">E47*E48/1000</f>
        <v>0</v>
      </c>
      <c r="F46" s="206">
        <f t="shared" si="45"/>
        <v>0</v>
      </c>
      <c r="G46" s="206">
        <f t="shared" si="45"/>
        <v>0</v>
      </c>
      <c r="H46" s="206">
        <f t="shared" si="45"/>
        <v>0</v>
      </c>
      <c r="I46" s="206">
        <f t="shared" si="45"/>
        <v>0</v>
      </c>
      <c r="J46" s="206">
        <f t="shared" si="45"/>
        <v>0</v>
      </c>
      <c r="K46" s="206">
        <f t="shared" si="45"/>
        <v>0</v>
      </c>
      <c r="L46" s="206">
        <f t="shared" si="45"/>
        <v>0</v>
      </c>
      <c r="M46" s="206">
        <f t="shared" si="45"/>
        <v>0</v>
      </c>
      <c r="N46" s="206">
        <f t="shared" si="45"/>
        <v>0</v>
      </c>
      <c r="O46" s="206">
        <f t="shared" si="45"/>
        <v>0</v>
      </c>
      <c r="P46" s="206">
        <f t="shared" si="45"/>
        <v>0</v>
      </c>
      <c r="Q46" s="206">
        <f t="shared" si="45"/>
        <v>0</v>
      </c>
      <c r="R46" s="206">
        <f t="shared" si="45"/>
        <v>0</v>
      </c>
      <c r="S46" s="206">
        <f t="shared" si="45"/>
        <v>0</v>
      </c>
      <c r="T46" s="28"/>
      <c r="U46" s="28"/>
      <c r="V46" s="28"/>
    </row>
    <row r="47" spans="1:27" x14ac:dyDescent="0.25">
      <c r="A47" s="10"/>
      <c r="B47" s="17" t="s">
        <v>194</v>
      </c>
      <c r="C47" s="13" t="str">
        <f>'Исходные данные тепло'!B48</f>
        <v>руб.</v>
      </c>
      <c r="D47" s="281">
        <f>'Исходные данные тепло'!F48</f>
        <v>0</v>
      </c>
      <c r="E47" s="206">
        <f>D47</f>
        <v>0</v>
      </c>
      <c r="F47" s="206">
        <f>E47*(1+'Исходные данные общие'!C2)</f>
        <v>0</v>
      </c>
      <c r="G47" s="206">
        <f>F47*(1+'Исходные данные общие'!D2)</f>
        <v>0</v>
      </c>
      <c r="H47" s="206">
        <f>G47*(1+'Исходные данные общие'!E2)</f>
        <v>0</v>
      </c>
      <c r="I47" s="206">
        <f>H47*(1+'Исходные данные общие'!F2)</f>
        <v>0</v>
      </c>
      <c r="J47" s="206">
        <f>I47*(1+'Исходные данные общие'!G2)</f>
        <v>0</v>
      </c>
      <c r="K47" s="206">
        <f>J47*(1+'Исходные данные общие'!H2)</f>
        <v>0</v>
      </c>
      <c r="L47" s="206">
        <f>K47*(1+'Исходные данные общие'!I2)</f>
        <v>0</v>
      </c>
      <c r="M47" s="206">
        <f>L47*(1+'Исходные данные общие'!J2)</f>
        <v>0</v>
      </c>
      <c r="N47" s="206">
        <f>M47*(1+'Исходные данные общие'!K2)</f>
        <v>0</v>
      </c>
      <c r="O47" s="206">
        <f>N47*(1+'Исходные данные общие'!L2)</f>
        <v>0</v>
      </c>
      <c r="P47" s="206">
        <f>O47*(1+'Исходные данные общие'!M2)</f>
        <v>0</v>
      </c>
      <c r="Q47" s="206">
        <f>P47*(1+'Исходные данные общие'!N2)</f>
        <v>0</v>
      </c>
      <c r="R47" s="206">
        <f>Q47*(1+'Исходные данные общие'!O2)</f>
        <v>0</v>
      </c>
      <c r="S47" s="206">
        <f>R47*(1+'Исходные данные общие'!P2)</f>
        <v>0</v>
      </c>
      <c r="T47" s="28"/>
      <c r="U47" s="28"/>
      <c r="V47" s="28"/>
    </row>
    <row r="48" spans="1:27" x14ac:dyDescent="0.25">
      <c r="A48" s="10"/>
      <c r="B48" s="17" t="str">
        <f>'Исходные данные тепло'!A49</f>
        <v>объем</v>
      </c>
      <c r="C48" s="13" t="str">
        <f>'Исходные данные тепло'!B49</f>
        <v>тн</v>
      </c>
      <c r="D48" s="281">
        <f>'Исходные данные тепло'!F49</f>
        <v>0</v>
      </c>
      <c r="E48" s="206">
        <v>0</v>
      </c>
      <c r="F48" s="206">
        <v>0</v>
      </c>
      <c r="G48" s="206">
        <v>0</v>
      </c>
      <c r="H48" s="206">
        <v>0</v>
      </c>
      <c r="I48" s="206">
        <v>0</v>
      </c>
      <c r="J48" s="206">
        <v>0</v>
      </c>
      <c r="K48" s="206">
        <v>0</v>
      </c>
      <c r="L48" s="206">
        <v>0</v>
      </c>
      <c r="M48" s="206">
        <v>0</v>
      </c>
      <c r="N48" s="206">
        <v>0</v>
      </c>
      <c r="O48" s="206">
        <v>0</v>
      </c>
      <c r="P48" s="206">
        <v>0</v>
      </c>
      <c r="Q48" s="206">
        <v>0</v>
      </c>
      <c r="R48" s="206">
        <v>0</v>
      </c>
      <c r="S48" s="206">
        <v>0</v>
      </c>
      <c r="T48" s="28"/>
      <c r="U48" s="28"/>
      <c r="V48" s="28"/>
    </row>
    <row r="49" spans="1:24" x14ac:dyDescent="0.25">
      <c r="A49" s="10"/>
      <c r="B49" s="17" t="str">
        <f>'Исходные данные тепло'!A50</f>
        <v xml:space="preserve">удельный расход </v>
      </c>
      <c r="C49" s="13" t="str">
        <f>'Исходные данные тепло'!B50</f>
        <v>тн/Гкал</v>
      </c>
      <c r="D49" s="281" t="e">
        <f>'Исходные данные тепло'!F50</f>
        <v>#DIV/0!</v>
      </c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4"/>
      <c r="P49" s="284"/>
      <c r="Q49" s="284"/>
      <c r="R49" s="284"/>
      <c r="S49" s="284"/>
      <c r="T49" s="28"/>
      <c r="U49" s="28"/>
      <c r="V49" s="28"/>
    </row>
    <row r="50" spans="1:24" x14ac:dyDescent="0.25">
      <c r="A50" s="10"/>
      <c r="B50" s="17" t="str">
        <f>'Исходные данные тепло'!A51</f>
        <v>т.у.т.</v>
      </c>
      <c r="C50" s="13" t="str">
        <f>'Исходные данные тепло'!B51</f>
        <v>тн</v>
      </c>
      <c r="D50" s="281">
        <f>'Исходные данные тепло'!F51</f>
        <v>0</v>
      </c>
      <c r="E50" s="206">
        <f>'Исходные данные тепло'!F100</f>
        <v>0</v>
      </c>
      <c r="F50" s="206">
        <f>'Исходные данные тепло'!G100</f>
        <v>0</v>
      </c>
      <c r="G50" s="206">
        <f>'Исходные данные тепло'!H100</f>
        <v>0</v>
      </c>
      <c r="H50" s="206">
        <f>'Исходные данные тепло'!I100</f>
        <v>0</v>
      </c>
      <c r="I50" s="206">
        <f>'Исходные данные тепло'!J100</f>
        <v>0</v>
      </c>
      <c r="J50" s="206">
        <f>'Исходные данные тепло'!K100</f>
        <v>0</v>
      </c>
      <c r="K50" s="206">
        <f>'Исходные данные тепло'!L100</f>
        <v>0</v>
      </c>
      <c r="L50" s="206">
        <f>'Исходные данные тепло'!M100</f>
        <v>0</v>
      </c>
      <c r="M50" s="206">
        <f>'Исходные данные тепло'!N100</f>
        <v>0</v>
      </c>
      <c r="N50" s="206">
        <f>'Исходные данные тепло'!O100</f>
        <v>0</v>
      </c>
      <c r="O50" s="206">
        <f>'Исходные данные тепло'!P100</f>
        <v>0</v>
      </c>
      <c r="P50" s="206">
        <f>'Исходные данные тепло'!Q100</f>
        <v>0</v>
      </c>
      <c r="Q50" s="206">
        <f>'Исходные данные тепло'!R100</f>
        <v>0</v>
      </c>
      <c r="R50" s="206">
        <f>'Исходные данные тепло'!S100</f>
        <v>0</v>
      </c>
      <c r="S50" s="206">
        <f>'Исходные данные тепло'!T100</f>
        <v>0</v>
      </c>
      <c r="T50" s="28"/>
      <c r="U50" s="28"/>
      <c r="V50" s="28"/>
    </row>
    <row r="51" spans="1:24" x14ac:dyDescent="0.25">
      <c r="A51" s="10"/>
      <c r="B51" s="17" t="str">
        <f>'Исходные данные тепло'!A52</f>
        <v>коэффициент перевода</v>
      </c>
      <c r="C51" s="13"/>
      <c r="D51" s="281" t="e">
        <f>'Исходные данные тепло'!F52</f>
        <v>#DIV/0!</v>
      </c>
      <c r="E51" s="223" t="e">
        <f>D51</f>
        <v>#DIV/0!</v>
      </c>
      <c r="F51" s="223" t="e">
        <f t="shared" ref="F51:N51" si="46">E51</f>
        <v>#DIV/0!</v>
      </c>
      <c r="G51" s="223" t="e">
        <f t="shared" si="46"/>
        <v>#DIV/0!</v>
      </c>
      <c r="H51" s="223" t="e">
        <f t="shared" si="46"/>
        <v>#DIV/0!</v>
      </c>
      <c r="I51" s="223" t="e">
        <f t="shared" si="46"/>
        <v>#DIV/0!</v>
      </c>
      <c r="J51" s="223" t="e">
        <f t="shared" si="46"/>
        <v>#DIV/0!</v>
      </c>
      <c r="K51" s="223" t="e">
        <f t="shared" si="46"/>
        <v>#DIV/0!</v>
      </c>
      <c r="L51" s="223" t="e">
        <f t="shared" si="46"/>
        <v>#DIV/0!</v>
      </c>
      <c r="M51" s="223" t="e">
        <f t="shared" si="46"/>
        <v>#DIV/0!</v>
      </c>
      <c r="N51" s="223" t="e">
        <f t="shared" si="46"/>
        <v>#DIV/0!</v>
      </c>
      <c r="O51" s="223" t="e">
        <f t="shared" ref="O51:O52" si="47">N51</f>
        <v>#DIV/0!</v>
      </c>
      <c r="P51" s="223" t="e">
        <f t="shared" ref="P51:P52" si="48">O51</f>
        <v>#DIV/0!</v>
      </c>
      <c r="Q51" s="223" t="e">
        <f t="shared" ref="Q51:Q52" si="49">P51</f>
        <v>#DIV/0!</v>
      </c>
      <c r="R51" s="223" t="e">
        <f t="shared" ref="R51:R52" si="50">Q51</f>
        <v>#DIV/0!</v>
      </c>
      <c r="S51" s="223" t="e">
        <f t="shared" ref="S51:S52" si="51">R51</f>
        <v>#DIV/0!</v>
      </c>
      <c r="T51" s="28"/>
      <c r="U51" s="28"/>
      <c r="V51" s="28"/>
    </row>
    <row r="52" spans="1:24" x14ac:dyDescent="0.25">
      <c r="A52" s="10"/>
      <c r="B52" s="151" t="str">
        <f>'Исходные данные тепло'!A53</f>
        <v>др. виды топлива</v>
      </c>
      <c r="C52" s="13" t="str">
        <f>'Исходные данные тепло'!B53</f>
        <v>тыс.руб.</v>
      </c>
      <c r="D52" s="281">
        <f>'Исходные данные тепло'!F53</f>
        <v>0</v>
      </c>
      <c r="E52" s="223">
        <f>D52</f>
        <v>0</v>
      </c>
      <c r="F52" s="223">
        <f t="shared" ref="F52:N52" si="52">E52</f>
        <v>0</v>
      </c>
      <c r="G52" s="223">
        <f t="shared" si="52"/>
        <v>0</v>
      </c>
      <c r="H52" s="223">
        <f t="shared" si="52"/>
        <v>0</v>
      </c>
      <c r="I52" s="223">
        <f t="shared" si="52"/>
        <v>0</v>
      </c>
      <c r="J52" s="223">
        <f t="shared" si="52"/>
        <v>0</v>
      </c>
      <c r="K52" s="223">
        <f t="shared" si="52"/>
        <v>0</v>
      </c>
      <c r="L52" s="223">
        <f t="shared" si="52"/>
        <v>0</v>
      </c>
      <c r="M52" s="223">
        <f t="shared" si="52"/>
        <v>0</v>
      </c>
      <c r="N52" s="223">
        <f t="shared" si="52"/>
        <v>0</v>
      </c>
      <c r="O52" s="223">
        <f t="shared" si="47"/>
        <v>0</v>
      </c>
      <c r="P52" s="223">
        <f t="shared" si="48"/>
        <v>0</v>
      </c>
      <c r="Q52" s="223">
        <f t="shared" si="49"/>
        <v>0</v>
      </c>
      <c r="R52" s="223">
        <f t="shared" si="50"/>
        <v>0</v>
      </c>
      <c r="S52" s="223">
        <f t="shared" si="51"/>
        <v>0</v>
      </c>
      <c r="T52" s="145">
        <f t="shared" ref="T52" si="53">S52</f>
        <v>0</v>
      </c>
      <c r="U52" s="145">
        <f t="shared" ref="U52" si="54">T52</f>
        <v>0</v>
      </c>
      <c r="V52" s="145">
        <f t="shared" ref="V52" si="55">U52</f>
        <v>0</v>
      </c>
    </row>
    <row r="53" spans="1:24" x14ac:dyDescent="0.25">
      <c r="A53" s="10" t="s">
        <v>196</v>
      </c>
      <c r="B53" s="151" t="str">
        <f>'Исходные данные тепло'!A54</f>
        <v xml:space="preserve">расходы на приобретение ЭЭ </v>
      </c>
      <c r="C53" s="13" t="str">
        <f>'Исходные данные тепло'!B54</f>
        <v>тыс.руб.</v>
      </c>
      <c r="D53" s="281">
        <f>'Исходные данные тепло'!F54</f>
        <v>1272.0554400000001</v>
      </c>
      <c r="E53" s="206">
        <f>E55*E54</f>
        <v>1272.0554400000001</v>
      </c>
      <c r="F53" s="206">
        <f t="shared" ref="F53:S53" si="56">F55*F54</f>
        <v>1282.8658807373381</v>
      </c>
      <c r="G53" s="206">
        <f t="shared" si="56"/>
        <v>1297.2702287302402</v>
      </c>
      <c r="H53" s="206">
        <f t="shared" si="56"/>
        <v>1310.9421522489267</v>
      </c>
      <c r="I53" s="206">
        <f t="shared" si="56"/>
        <v>1322.8667895323117</v>
      </c>
      <c r="J53" s="206">
        <f t="shared" si="56"/>
        <v>1334.7914268156967</v>
      </c>
      <c r="K53" s="206">
        <f t="shared" si="56"/>
        <v>1346.7160640990814</v>
      </c>
      <c r="L53" s="206">
        <f t="shared" si="56"/>
        <v>1358.6407013824664</v>
      </c>
      <c r="M53" s="206">
        <f t="shared" si="56"/>
        <v>1370.5653386658514</v>
      </c>
      <c r="N53" s="206">
        <f t="shared" si="56"/>
        <v>1379.676176279741</v>
      </c>
      <c r="O53" s="206">
        <f t="shared" si="56"/>
        <v>1385.6377051410655</v>
      </c>
      <c r="P53" s="206">
        <f t="shared" si="56"/>
        <v>1394.5085960775039</v>
      </c>
      <c r="Q53" s="206">
        <f t="shared" si="56"/>
        <v>1398.2715009073977</v>
      </c>
      <c r="R53" s="206">
        <f t="shared" si="56"/>
        <v>1402.0344057372915</v>
      </c>
      <c r="S53" s="206">
        <f t="shared" si="56"/>
        <v>1405.7973105671854</v>
      </c>
      <c r="T53" s="50" t="e">
        <f t="shared" ref="T53:V53" ca="1" si="57">T55*T57</f>
        <v>#DIV/0!</v>
      </c>
      <c r="U53" s="50" t="e">
        <f t="shared" ca="1" si="57"/>
        <v>#DIV/0!</v>
      </c>
      <c r="V53" s="50" t="e">
        <f t="shared" ca="1" si="57"/>
        <v>#DIV/0!</v>
      </c>
    </row>
    <row r="54" spans="1:24" x14ac:dyDescent="0.25">
      <c r="A54" s="10"/>
      <c r="B54" s="17" t="str">
        <f>'Исходные данные тепло'!A55</f>
        <v>тариф на э/э</v>
      </c>
      <c r="C54" s="13" t="str">
        <f>'Исходные данные тепло'!B55</f>
        <v>руб.</v>
      </c>
      <c r="D54" s="281">
        <f>'Исходные данные тепло'!F55</f>
        <v>5.1836000000000002</v>
      </c>
      <c r="E54" s="241">
        <f>D54</f>
        <v>5.1836000000000002</v>
      </c>
      <c r="F54" s="241">
        <f>E54*1+'Исходные данные общие'!C4</f>
        <v>5.2545999999999999</v>
      </c>
      <c r="G54" s="241">
        <f>F54*1+'Исходные данные общие'!D4</f>
        <v>5.3136000000000001</v>
      </c>
      <c r="H54" s="241">
        <f>G54*1+'Исходные данные общие'!E4</f>
        <v>5.3696000000000002</v>
      </c>
      <c r="I54" s="241">
        <f>H54*1+'Исходные данные общие'!F4</f>
        <v>5.4184431409784324</v>
      </c>
      <c r="J54" s="241">
        <f>I54*1+'Исходные данные общие'!G4</f>
        <v>5.4672862819568646</v>
      </c>
      <c r="K54" s="241">
        <f>J54*1+'Исходные данные общие'!H4</f>
        <v>5.5161294229352968</v>
      </c>
      <c r="L54" s="241">
        <f>K54*1+'Исходные данные общие'!I4</f>
        <v>5.5649725639137291</v>
      </c>
      <c r="M54" s="241">
        <f>L54*1+'Исходные данные общие'!J4</f>
        <v>5.6138157048921613</v>
      </c>
      <c r="N54" s="241">
        <f>M54*1+'Исходные данные общие'!K4</f>
        <v>5.6511335633252102</v>
      </c>
      <c r="O54" s="241">
        <f>N54*1+'Исходные данные общие'!L4</f>
        <v>5.6755518988855185</v>
      </c>
      <c r="P54" s="241">
        <f>O54*1+'Исходные данные общие'!M4</f>
        <v>5.7118869392155478</v>
      </c>
      <c r="Q54" s="241">
        <f>P54*1+'Исходные данные общие'!N4</f>
        <v>5.7272997427019074</v>
      </c>
      <c r="R54" s="241">
        <f>Q54*1+'Исходные данные общие'!O4</f>
        <v>5.7427125461882671</v>
      </c>
      <c r="S54" s="241">
        <f>R54*1+'Исходные данные общие'!P4</f>
        <v>5.7581253496746267</v>
      </c>
      <c r="T54" s="46">
        <f>S54*1+'Исходные данные общие'!Q4</f>
        <v>5.7735381531609864</v>
      </c>
      <c r="U54" s="46">
        <f>T54*1+'Исходные данные общие'!R4</f>
        <v>5.788950956647346</v>
      </c>
      <c r="V54" s="46">
        <f>U54*1+'Исходные данные общие'!S4</f>
        <v>5.8043637601337057</v>
      </c>
    </row>
    <row r="55" spans="1:24" ht="28.5" customHeight="1" x14ac:dyDescent="0.25">
      <c r="A55" s="10"/>
      <c r="B55" s="17" t="str">
        <f>'Исходные данные тепло'!A56</f>
        <v>объем электроэнергии</v>
      </c>
      <c r="C55" s="13" t="str">
        <f>'Исходные данные тепло'!B56</f>
        <v>тыс.кВт*ч</v>
      </c>
      <c r="D55" s="281">
        <f>'Исходные данные тепло'!F56</f>
        <v>245.4</v>
      </c>
      <c r="E55" s="206">
        <f>E56*E5/1000</f>
        <v>245.4</v>
      </c>
      <c r="F55" s="206">
        <f t="shared" ref="F55:S55" si="58">F56*F5/1000</f>
        <v>244.14149140511896</v>
      </c>
      <c r="G55" s="206">
        <f>G56*G5/1000</f>
        <v>244.14149140511896</v>
      </c>
      <c r="H55" s="206">
        <f t="shared" si="58"/>
        <v>244.14149140511896</v>
      </c>
      <c r="I55" s="206">
        <f t="shared" si="58"/>
        <v>244.14149140511896</v>
      </c>
      <c r="J55" s="206">
        <f t="shared" si="58"/>
        <v>244.14149140511896</v>
      </c>
      <c r="K55" s="206">
        <f t="shared" si="58"/>
        <v>244.14149140511896</v>
      </c>
      <c r="L55" s="206">
        <f t="shared" si="58"/>
        <v>244.14149140511896</v>
      </c>
      <c r="M55" s="206">
        <f t="shared" si="58"/>
        <v>244.14149140511896</v>
      </c>
      <c r="N55" s="206">
        <f t="shared" si="58"/>
        <v>244.14149140511896</v>
      </c>
      <c r="O55" s="206">
        <f t="shared" si="58"/>
        <v>244.14149140511896</v>
      </c>
      <c r="P55" s="206">
        <f t="shared" si="58"/>
        <v>244.14149140511896</v>
      </c>
      <c r="Q55" s="206">
        <f t="shared" si="58"/>
        <v>244.14149140511896</v>
      </c>
      <c r="R55" s="206">
        <f t="shared" si="58"/>
        <v>244.14149140511896</v>
      </c>
      <c r="S55" s="206">
        <f t="shared" si="58"/>
        <v>244.14149140511896</v>
      </c>
      <c r="T55" s="42">
        <f t="shared" ref="T55:V55" si="59">S55*T56</f>
        <v>3613.638649586308</v>
      </c>
      <c r="U55" s="42">
        <f t="shared" si="59"/>
        <v>0</v>
      </c>
      <c r="V55" s="42">
        <f t="shared" si="59"/>
        <v>0</v>
      </c>
    </row>
    <row r="56" spans="1:24" ht="18" customHeight="1" x14ac:dyDescent="0.25">
      <c r="A56" s="10"/>
      <c r="B56" s="17" t="str">
        <f>'Исходные данные тепло'!A57</f>
        <v xml:space="preserve">удельный расход </v>
      </c>
      <c r="C56" s="13" t="str">
        <f>'Исходные данные тепло'!B57</f>
        <v>квт.ч/Гкал</v>
      </c>
      <c r="D56" s="281">
        <f>'Исходные данные тепло'!F57</f>
        <v>14.801411381525378</v>
      </c>
      <c r="E56" s="223">
        <f>'Исходные данные тепло'!F101</f>
        <v>14.801411381525378</v>
      </c>
      <c r="F56" s="223">
        <f>'Исходные данные тепло'!G101</f>
        <v>14.801411381525378</v>
      </c>
      <c r="G56" s="223">
        <f>'Исходные данные тепло'!H101</f>
        <v>14.801411381525378</v>
      </c>
      <c r="H56" s="223">
        <f>'Исходные данные тепло'!I101</f>
        <v>14.801411381525378</v>
      </c>
      <c r="I56" s="223">
        <f>'Исходные данные тепло'!J101</f>
        <v>14.801411381525378</v>
      </c>
      <c r="J56" s="223">
        <f>'Исходные данные тепло'!K101</f>
        <v>14.801411381525378</v>
      </c>
      <c r="K56" s="223">
        <f>'Исходные данные тепло'!L101</f>
        <v>14.801411381525378</v>
      </c>
      <c r="L56" s="223">
        <f>'Исходные данные тепло'!M101</f>
        <v>14.801411381525378</v>
      </c>
      <c r="M56" s="223">
        <f>'Исходные данные тепло'!N101</f>
        <v>14.801411381525378</v>
      </c>
      <c r="N56" s="223">
        <f>'Исходные данные тепло'!O101</f>
        <v>14.801411381525378</v>
      </c>
      <c r="O56" s="223">
        <f>'Исходные данные тепло'!P101</f>
        <v>14.801411381525378</v>
      </c>
      <c r="P56" s="223">
        <f>'Исходные данные тепло'!Q101</f>
        <v>14.801411381525378</v>
      </c>
      <c r="Q56" s="223">
        <f>'Исходные данные тепло'!R101</f>
        <v>14.801411381525378</v>
      </c>
      <c r="R56" s="223">
        <f>'Исходные данные тепло'!S101</f>
        <v>14.801411381525378</v>
      </c>
      <c r="S56" s="223">
        <f>'Исходные данные тепло'!T101</f>
        <v>14.801411381525378</v>
      </c>
      <c r="T56" s="145">
        <f>'Исходные данные тепло'!U101</f>
        <v>14.801411381525378</v>
      </c>
      <c r="U56" s="145">
        <f>'Исходные данные тепло'!V101</f>
        <v>0</v>
      </c>
      <c r="V56" s="145">
        <f>'Исходные данные тепло'!W101</f>
        <v>0</v>
      </c>
    </row>
    <row r="57" spans="1:24" x14ac:dyDescent="0.25">
      <c r="A57" s="10" t="s">
        <v>197</v>
      </c>
      <c r="B57" s="151" t="str">
        <f>'Исходные данные тепло'!A58</f>
        <v xml:space="preserve">расходы на приобретение воды </v>
      </c>
      <c r="C57" s="13">
        <f>'Исходные данные тепло'!B58</f>
        <v>0</v>
      </c>
      <c r="D57" s="281">
        <f>'Исходные данные тепло'!F58</f>
        <v>2081.8764799999999</v>
      </c>
      <c r="E57" s="206">
        <f>(E58*E59+E61*E62)/1000</f>
        <v>2081.8764799999999</v>
      </c>
      <c r="F57" s="206">
        <f t="shared" ref="F57:S57" si="60">(F58*F59+F61*F62)/1000</f>
        <v>2218.2549763226502</v>
      </c>
      <c r="G57" s="206">
        <f t="shared" si="60"/>
        <v>2349.1320199256866</v>
      </c>
      <c r="H57" s="206">
        <f t="shared" si="60"/>
        <v>2480.6834130415255</v>
      </c>
      <c r="I57" s="206">
        <f t="shared" si="60"/>
        <v>2601.8477827075703</v>
      </c>
      <c r="J57" s="206">
        <f t="shared" si="60"/>
        <v>2728.9302007627762</v>
      </c>
      <c r="K57" s="206">
        <f t="shared" si="60"/>
        <v>2862.2197232789326</v>
      </c>
      <c r="L57" s="206">
        <f t="shared" si="60"/>
        <v>3002.019524734294</v>
      </c>
      <c r="M57" s="206">
        <f t="shared" si="60"/>
        <v>3148.6475876008958</v>
      </c>
      <c r="N57" s="206">
        <f t="shared" si="60"/>
        <v>3266.1483725305475</v>
      </c>
      <c r="O57" s="206">
        <f t="shared" si="60"/>
        <v>3345.9022794807534</v>
      </c>
      <c r="P57" s="206">
        <f t="shared" si="60"/>
        <v>3467.4757737460222</v>
      </c>
      <c r="Q57" s="206">
        <f t="shared" si="60"/>
        <v>3520.9192964404815</v>
      </c>
      <c r="R57" s="206">
        <f t="shared" si="60"/>
        <v>3575.1865336478495</v>
      </c>
      <c r="S57" s="206">
        <f t="shared" si="60"/>
        <v>3630.2901811180427</v>
      </c>
      <c r="T57" s="50" t="e">
        <f t="shared" ref="T57:V57" ca="1" si="61">T54*T5</f>
        <v>#DIV/0!</v>
      </c>
      <c r="U57" s="50" t="e">
        <f t="shared" ca="1" si="61"/>
        <v>#DIV/0!</v>
      </c>
      <c r="V57" s="50" t="e">
        <f t="shared" ca="1" si="61"/>
        <v>#DIV/0!</v>
      </c>
    </row>
    <row r="58" spans="1:24" x14ac:dyDescent="0.25">
      <c r="A58" s="10"/>
      <c r="B58" s="17" t="str">
        <f>'Исходные данные тепло'!A59</f>
        <v>тариф на воду</v>
      </c>
      <c r="C58" s="13" t="str">
        <f>'Исходные данные тепло'!B59</f>
        <v>руб.м3</v>
      </c>
      <c r="D58" s="281">
        <f>'Исходные данные тепло'!F59</f>
        <v>18.579999999999998</v>
      </c>
      <c r="E58" s="241">
        <f>D58</f>
        <v>18.579999999999998</v>
      </c>
      <c r="F58" s="241">
        <f>E58*(1+'Исходные данные общие'!C4)</f>
        <v>19.899179999999998</v>
      </c>
      <c r="G58" s="241">
        <f>F58*(1+'Исходные данные общие'!D4)</f>
        <v>21.073231619999998</v>
      </c>
      <c r="H58" s="241">
        <f>G58*(1+'Исходные данные общие'!E4)</f>
        <v>22.253332590719999</v>
      </c>
      <c r="I58" s="241">
        <f>H58*(1+'Исходные данные общие'!F4)</f>
        <v>23.340255251688468</v>
      </c>
      <c r="J58" s="241">
        <f>I58*(1+'Исходные данные общие'!G4)</f>
        <v>24.480266629419273</v>
      </c>
      <c r="K58" s="241">
        <f>J58*(1+'Исходные данные общие'!H4)</f>
        <v>25.675959743589598</v>
      </c>
      <c r="L58" s="241">
        <f>K58*(1+'Исходные данные общие'!I4)</f>
        <v>26.930054265102285</v>
      </c>
      <c r="M58" s="241">
        <f>L58*(1+'Исходные данные общие'!J4)</f>
        <v>28.245402702129493</v>
      </c>
      <c r="N58" s="241">
        <f>M58*(1+'Исходные данные общие'!K4)</f>
        <v>29.299460641552024</v>
      </c>
      <c r="O58" s="241">
        <f>N58*(1+'Исходные данные общие'!L4)</f>
        <v>30.014904703233487</v>
      </c>
      <c r="P58" s="241">
        <f>O58*(1+'Исходные данные общие'!M4)</f>
        <v>31.10549747612745</v>
      </c>
      <c r="Q58" s="241">
        <f>P58*(1+'Исходные данные общие'!N4)</f>
        <v>31.584920396072452</v>
      </c>
      <c r="R58" s="241">
        <f>Q58*(1+'Исходные данные общие'!O4)</f>
        <v>32.071732567269422</v>
      </c>
      <c r="S58" s="241">
        <f>R58*(1+'Исходные данные общие'!P4)</f>
        <v>32.566047878795821</v>
      </c>
      <c r="T58" s="50"/>
      <c r="U58" s="50"/>
      <c r="V58" s="50"/>
    </row>
    <row r="59" spans="1:24" x14ac:dyDescent="0.25">
      <c r="A59" s="10"/>
      <c r="B59" s="17" t="str">
        <f>'Исходные данные тепло'!A60</f>
        <v>объем воды</v>
      </c>
      <c r="C59" s="13" t="str">
        <f>'Исходные данные тепло'!B60</f>
        <v>м3</v>
      </c>
      <c r="D59" s="281">
        <f>'Исходные данные тепло'!F60</f>
        <v>108101</v>
      </c>
      <c r="E59" s="206">
        <f>E5*E60</f>
        <v>108101</v>
      </c>
      <c r="F59" s="206">
        <f t="shared" ref="F59:S59" si="62">F5*F60</f>
        <v>107546.61516864206</v>
      </c>
      <c r="G59" s="206">
        <f t="shared" si="62"/>
        <v>107546.61516864206</v>
      </c>
      <c r="H59" s="206">
        <f t="shared" si="62"/>
        <v>107546.61516864206</v>
      </c>
      <c r="I59" s="206">
        <f t="shared" si="62"/>
        <v>107546.61516864206</v>
      </c>
      <c r="J59" s="206">
        <f t="shared" si="62"/>
        <v>107546.61516864206</v>
      </c>
      <c r="K59" s="206">
        <f t="shared" si="62"/>
        <v>107546.61516864206</v>
      </c>
      <c r="L59" s="206">
        <f t="shared" si="62"/>
        <v>107546.61516864206</v>
      </c>
      <c r="M59" s="206">
        <f t="shared" si="62"/>
        <v>107546.61516864206</v>
      </c>
      <c r="N59" s="206">
        <f t="shared" si="62"/>
        <v>107546.61516864206</v>
      </c>
      <c r="O59" s="206">
        <f t="shared" si="62"/>
        <v>107546.61516864206</v>
      </c>
      <c r="P59" s="206">
        <f t="shared" si="62"/>
        <v>107546.61516864206</v>
      </c>
      <c r="Q59" s="206">
        <f t="shared" si="62"/>
        <v>107546.61516864206</v>
      </c>
      <c r="R59" s="206">
        <f t="shared" si="62"/>
        <v>107546.61516864206</v>
      </c>
      <c r="S59" s="206">
        <f t="shared" si="62"/>
        <v>107546.61516864206</v>
      </c>
      <c r="T59" s="50"/>
      <c r="U59" s="50"/>
      <c r="V59" s="50"/>
    </row>
    <row r="60" spans="1:24" x14ac:dyDescent="0.25">
      <c r="A60" s="10"/>
      <c r="B60" s="17" t="str">
        <f>'Исходные данные тепло'!A61</f>
        <v xml:space="preserve">удельный расход </v>
      </c>
      <c r="C60" s="13"/>
      <c r="D60" s="281">
        <f>'Исходные данные тепло'!F61</f>
        <v>6.5201604390964745</v>
      </c>
      <c r="E60" s="241">
        <f>'Исходные данные тепло'!F102</f>
        <v>6.5201604390964745</v>
      </c>
      <c r="F60" s="241">
        <f>'Исходные данные тепло'!G102</f>
        <v>6.5201604390964745</v>
      </c>
      <c r="G60" s="241">
        <f>'Исходные данные тепло'!H102</f>
        <v>6.5201604390964745</v>
      </c>
      <c r="H60" s="241">
        <f>'Исходные данные тепло'!I102</f>
        <v>6.5201604390964745</v>
      </c>
      <c r="I60" s="241">
        <f>'Исходные данные тепло'!J102</f>
        <v>6.5201604390964745</v>
      </c>
      <c r="J60" s="241">
        <f>'Исходные данные тепло'!K102</f>
        <v>6.5201604390964745</v>
      </c>
      <c r="K60" s="241">
        <f>'Исходные данные тепло'!L102</f>
        <v>6.5201604390964745</v>
      </c>
      <c r="L60" s="241">
        <f>'Исходные данные тепло'!M102</f>
        <v>6.5201604390964745</v>
      </c>
      <c r="M60" s="241">
        <f>'Исходные данные тепло'!N102</f>
        <v>6.5201604390964745</v>
      </c>
      <c r="N60" s="241">
        <f>'Исходные данные тепло'!O102</f>
        <v>6.5201604390964745</v>
      </c>
      <c r="O60" s="241">
        <f>'Исходные данные тепло'!P102</f>
        <v>6.5201604390964745</v>
      </c>
      <c r="P60" s="241">
        <f>'Исходные данные тепло'!Q102</f>
        <v>6.5201604390964745</v>
      </c>
      <c r="Q60" s="241">
        <f>'Исходные данные тепло'!R102</f>
        <v>6.5201604390964745</v>
      </c>
      <c r="R60" s="241">
        <f>'Исходные данные тепло'!S102</f>
        <v>6.5201604390964745</v>
      </c>
      <c r="S60" s="241">
        <f>'Исходные данные тепло'!T102</f>
        <v>6.5201604390964745</v>
      </c>
      <c r="T60" s="46">
        <f>'Исходные данные тепло'!U102</f>
        <v>6.5201604390964745</v>
      </c>
      <c r="U60" s="46">
        <f>'Исходные данные тепло'!V102</f>
        <v>0</v>
      </c>
      <c r="V60" s="46">
        <f>'Исходные данные тепло'!W102</f>
        <v>0</v>
      </c>
    </row>
    <row r="61" spans="1:24" x14ac:dyDescent="0.25">
      <c r="A61" s="10"/>
      <c r="B61" s="17" t="str">
        <f>'Исходные данные тепло'!A62</f>
        <v>тариф канализование</v>
      </c>
      <c r="C61" s="13" t="str">
        <f>'Исходные данные тепло'!B62</f>
        <v>руб.м3</v>
      </c>
      <c r="D61" s="281">
        <f>'Исходные данные тепло'!F62</f>
        <v>16.649999999999999</v>
      </c>
      <c r="E61" s="241">
        <f>D61</f>
        <v>16.649999999999999</v>
      </c>
      <c r="F61" s="241">
        <f>E61*(1+'Исходные данные общие'!C4)</f>
        <v>17.832149999999999</v>
      </c>
      <c r="G61" s="241">
        <f>F61*(1+'Исходные данные общие'!D4)</f>
        <v>18.884246849999997</v>
      </c>
      <c r="H61" s="241">
        <f>G61*(1+'Исходные данные общие'!E4)</f>
        <v>19.941764673599998</v>
      </c>
      <c r="I61" s="241">
        <f>H61*(1+'Исходные данные общие'!F4)</f>
        <v>20.915783096911355</v>
      </c>
      <c r="J61" s="241">
        <f>I61*(1+'Исходные данные общие'!G4)</f>
        <v>21.937375639388097</v>
      </c>
      <c r="K61" s="241">
        <f>J61*(1+'Исходные данные общие'!H4)</f>
        <v>23.008865970439544</v>
      </c>
      <c r="L61" s="241">
        <f>K61*(1+'Исходные данные общие'!I4)</f>
        <v>24.132691254787563</v>
      </c>
      <c r="M61" s="241">
        <f>L61*(1+'Исходные данные общие'!J4)</f>
        <v>25.311407695934118</v>
      </c>
      <c r="N61" s="241">
        <f>M61*(1+'Исходные данные общие'!K4)</f>
        <v>26.255975225072177</v>
      </c>
      <c r="O61" s="241">
        <f>N61*(1+'Исходные данные общие'!L4)</f>
        <v>26.897102438581129</v>
      </c>
      <c r="P61" s="241">
        <f>O61*(1+'Исходные данные общие'!M4)</f>
        <v>27.874409740447891</v>
      </c>
      <c r="Q61" s="241">
        <f>P61*(1+'Исходные данные общие'!N4)</f>
        <v>28.304032540075678</v>
      </c>
      <c r="R61" s="241">
        <f>Q61*(1+'Исходные данные общие'!O4)</f>
        <v>28.740277031487388</v>
      </c>
      <c r="S61" s="241">
        <f>R61*(1+'Исходные данные общие'!P4)</f>
        <v>29.183245273517233</v>
      </c>
      <c r="T61" s="50"/>
      <c r="U61" s="50"/>
      <c r="V61" s="50"/>
    </row>
    <row r="62" spans="1:24" x14ac:dyDescent="0.25">
      <c r="A62" s="10"/>
      <c r="B62" s="17" t="str">
        <f>'Исходные данные тепло'!A63</f>
        <v>объем воды</v>
      </c>
      <c r="C62" s="13" t="str">
        <f>'Исходные данные тепло'!B63</f>
        <v>м3</v>
      </c>
      <c r="D62" s="281">
        <f>'Исходные данные тепло'!F63</f>
        <v>4406</v>
      </c>
      <c r="E62" s="206">
        <f>$D$62/$D$59*E59</f>
        <v>4406</v>
      </c>
      <c r="F62" s="206">
        <f t="shared" ref="F62:V62" si="63">$D$62/$D$59*F59</f>
        <v>4383.4042833372205</v>
      </c>
      <c r="G62" s="206">
        <f t="shared" si="63"/>
        <v>4383.4042833372205</v>
      </c>
      <c r="H62" s="206">
        <f t="shared" si="63"/>
        <v>4383.4042833372205</v>
      </c>
      <c r="I62" s="206">
        <f t="shared" si="63"/>
        <v>4383.4042833372205</v>
      </c>
      <c r="J62" s="206">
        <f t="shared" si="63"/>
        <v>4383.4042833372205</v>
      </c>
      <c r="K62" s="206">
        <f t="shared" si="63"/>
        <v>4383.4042833372205</v>
      </c>
      <c r="L62" s="206">
        <f t="shared" si="63"/>
        <v>4383.4042833372205</v>
      </c>
      <c r="M62" s="206">
        <f>$D$62/$D$59*M59</f>
        <v>4383.4042833372205</v>
      </c>
      <c r="N62" s="206">
        <f t="shared" si="63"/>
        <v>4383.4042833372205</v>
      </c>
      <c r="O62" s="206">
        <f t="shared" si="63"/>
        <v>4383.4042833372205</v>
      </c>
      <c r="P62" s="206">
        <f t="shared" si="63"/>
        <v>4383.4042833372205</v>
      </c>
      <c r="Q62" s="206">
        <f t="shared" si="63"/>
        <v>4383.4042833372205</v>
      </c>
      <c r="R62" s="206">
        <f t="shared" si="63"/>
        <v>4383.4042833372205</v>
      </c>
      <c r="S62" s="206">
        <f t="shared" si="63"/>
        <v>4383.4042833372205</v>
      </c>
      <c r="T62" s="50">
        <f t="shared" si="63"/>
        <v>0</v>
      </c>
      <c r="U62" s="50">
        <f t="shared" si="63"/>
        <v>0</v>
      </c>
      <c r="V62" s="50">
        <f t="shared" si="63"/>
        <v>0</v>
      </c>
    </row>
    <row r="63" spans="1:24" x14ac:dyDescent="0.25">
      <c r="A63" s="10" t="s">
        <v>24</v>
      </c>
      <c r="B63" s="12" t="s">
        <v>12</v>
      </c>
      <c r="C63" s="13" t="s">
        <v>11</v>
      </c>
      <c r="D63" s="281">
        <f>D64+SUM(D68:D74)</f>
        <v>1530</v>
      </c>
      <c r="E63" s="206">
        <f>E64+SUM(E68:E74)</f>
        <v>1530</v>
      </c>
      <c r="F63" s="206">
        <f t="shared" ref="F63:X63" si="64">F64+SUM(F68:F74)</f>
        <v>2309.6495492555559</v>
      </c>
      <c r="G63" s="206">
        <f t="shared" ref="G63" si="65">G64+SUM(G68:G74)</f>
        <v>3164.2914406757523</v>
      </c>
      <c r="H63" s="206">
        <f t="shared" ref="H63" si="66">H64+SUM(H68:H74)</f>
        <v>3038.7888604246091</v>
      </c>
      <c r="I63" s="206">
        <f t="shared" ref="I63" si="67">I64+SUM(I68:I74)</f>
        <v>2854.612820645566</v>
      </c>
      <c r="J63" s="206">
        <f t="shared" ref="J63" si="68">J64+SUM(J68:J74)</f>
        <v>2679.943043873187</v>
      </c>
      <c r="K63" s="206">
        <f t="shared" ref="K63" si="69">K64+SUM(K68:K74)</f>
        <v>2519.0065074193353</v>
      </c>
      <c r="L63" s="206">
        <f t="shared" ref="L63" si="70">L64+SUM(L68:L74)</f>
        <v>2359.5800144276541</v>
      </c>
      <c r="M63" s="206">
        <f t="shared" ref="M63" si="71">M64+SUM(M68:M74)</f>
        <v>2200.2877556660887</v>
      </c>
      <c r="N63" s="206">
        <f t="shared" ref="N63:S63" si="72">N64+SUM(N68:N74)</f>
        <v>2041.2337056026786</v>
      </c>
      <c r="O63" s="206">
        <f t="shared" si="72"/>
        <v>1877.5232778513443</v>
      </c>
      <c r="P63" s="206">
        <f t="shared" si="72"/>
        <v>1751.9780933570923</v>
      </c>
      <c r="Q63" s="206">
        <f t="shared" si="72"/>
        <v>1734.1863547745409</v>
      </c>
      <c r="R63" s="206">
        <f t="shared" si="72"/>
        <v>1716.4708084651199</v>
      </c>
      <c r="S63" s="206">
        <f t="shared" si="72"/>
        <v>1698.5542019997454</v>
      </c>
      <c r="T63" s="50" t="e">
        <f t="shared" ca="1" si="64"/>
        <v>#DIV/0!</v>
      </c>
      <c r="U63" s="50" t="e">
        <f t="shared" ca="1" si="64"/>
        <v>#DIV/0!</v>
      </c>
      <c r="V63" s="50" t="e">
        <f t="shared" ca="1" si="64"/>
        <v>#DIV/0!</v>
      </c>
      <c r="W63" s="50">
        <f t="shared" si="64"/>
        <v>0</v>
      </c>
      <c r="X63" s="50">
        <f t="shared" si="64"/>
        <v>0</v>
      </c>
    </row>
    <row r="64" spans="1:24" x14ac:dyDescent="0.25">
      <c r="A64" s="10"/>
      <c r="B64" s="17" t="s">
        <v>54</v>
      </c>
      <c r="C64" s="13" t="s">
        <v>11</v>
      </c>
      <c r="D64" s="281">
        <f>SUM(D65:D67)</f>
        <v>1030</v>
      </c>
      <c r="E64" s="206">
        <f t="shared" ref="E64:E69" si="73">D64</f>
        <v>1030</v>
      </c>
      <c r="F64" s="206">
        <f t="shared" ref="F64:V64" si="74">SUM(F65:F67)</f>
        <v>891.13924050632909</v>
      </c>
      <c r="G64" s="206">
        <f t="shared" si="74"/>
        <v>1668.7207680755203</v>
      </c>
      <c r="H64" s="206">
        <f t="shared" si="74"/>
        <v>1498.7175498819995</v>
      </c>
      <c r="I64" s="206">
        <f t="shared" si="74"/>
        <v>1328.714331688479</v>
      </c>
      <c r="J64" s="206">
        <f t="shared" si="74"/>
        <v>1158.7111134949582</v>
      </c>
      <c r="K64" s="206">
        <f t="shared" si="74"/>
        <v>988.70789530143759</v>
      </c>
      <c r="L64" s="206">
        <f t="shared" si="74"/>
        <v>818.70467710791695</v>
      </c>
      <c r="M64" s="206">
        <f t="shared" si="74"/>
        <v>648.7014589143962</v>
      </c>
      <c r="N64" s="206">
        <f t="shared" si="74"/>
        <v>478.69824072087556</v>
      </c>
      <c r="O64" s="206">
        <f t="shared" si="74"/>
        <v>378.31527569191184</v>
      </c>
      <c r="P64" s="206">
        <f t="shared" si="74"/>
        <v>347.55256382750503</v>
      </c>
      <c r="Q64" s="206">
        <f t="shared" si="74"/>
        <v>316.78985196309827</v>
      </c>
      <c r="R64" s="206">
        <f t="shared" si="74"/>
        <v>286.02714009869146</v>
      </c>
      <c r="S64" s="206">
        <f t="shared" si="74"/>
        <v>255.26442823428465</v>
      </c>
      <c r="T64" s="50">
        <f t="shared" si="74"/>
        <v>224.50171636987787</v>
      </c>
      <c r="U64" s="50">
        <f t="shared" si="74"/>
        <v>193.73900450547106</v>
      </c>
      <c r="V64" s="50">
        <f t="shared" si="74"/>
        <v>162.9762926410643</v>
      </c>
    </row>
    <row r="65" spans="1:31" x14ac:dyDescent="0.25">
      <c r="A65" s="10"/>
      <c r="B65" s="17" t="str">
        <f>'Исходные данные тепло'!A66</f>
        <v>налог на имущество</v>
      </c>
      <c r="C65" s="13" t="s">
        <v>11</v>
      </c>
      <c r="D65" s="281">
        <f>'Исходные данные тепло'!F66</f>
        <v>1030</v>
      </c>
      <c r="E65" s="206">
        <f t="shared" si="73"/>
        <v>1030</v>
      </c>
      <c r="F65" s="206">
        <f>'Амортизация тепло'!D20</f>
        <v>891.13924050632909</v>
      </c>
      <c r="G65" s="206">
        <f>'Амортизация тепло'!E20</f>
        <v>1668.7207680755203</v>
      </c>
      <c r="H65" s="206">
        <f>'Амортизация тепло'!F20</f>
        <v>1498.7175498819995</v>
      </c>
      <c r="I65" s="206">
        <f>'Амортизация тепло'!G20</f>
        <v>1328.714331688479</v>
      </c>
      <c r="J65" s="206">
        <f>'Амортизация тепло'!H20</f>
        <v>1158.7111134949582</v>
      </c>
      <c r="K65" s="206">
        <f>'Амортизация тепло'!I20</f>
        <v>988.70789530143759</v>
      </c>
      <c r="L65" s="206">
        <f>'Амортизация тепло'!J20</f>
        <v>818.70467710791695</v>
      </c>
      <c r="M65" s="206">
        <f>'Амортизация тепло'!K20</f>
        <v>648.7014589143962</v>
      </c>
      <c r="N65" s="206">
        <f>'Амортизация тепло'!L20</f>
        <v>478.69824072087556</v>
      </c>
      <c r="O65" s="206">
        <f>'Амортизация тепло'!M20</f>
        <v>378.31527569191184</v>
      </c>
      <c r="P65" s="206">
        <f>'Амортизация тепло'!N20</f>
        <v>347.55256382750503</v>
      </c>
      <c r="Q65" s="206">
        <f>'Амортизация тепло'!O20</f>
        <v>316.78985196309827</v>
      </c>
      <c r="R65" s="206">
        <f>'Амортизация тепло'!P20</f>
        <v>286.02714009869146</v>
      </c>
      <c r="S65" s="206">
        <f>'Амортизация тепло'!Q20</f>
        <v>255.26442823428465</v>
      </c>
      <c r="T65" s="50">
        <f>'Амортизация тепло'!R20</f>
        <v>224.50171636987787</v>
      </c>
      <c r="U65" s="50">
        <f>'Амортизация тепло'!S20</f>
        <v>193.73900450547106</v>
      </c>
      <c r="V65" s="50">
        <f>'Амортизация тепло'!T20</f>
        <v>162.9762926410643</v>
      </c>
      <c r="Z65" t="s">
        <v>77</v>
      </c>
    </row>
    <row r="66" spans="1:31" x14ac:dyDescent="0.25">
      <c r="A66" s="10"/>
      <c r="B66" s="17" t="str">
        <f>'Исходные данные тепло'!A67</f>
        <v>налог на землю</v>
      </c>
      <c r="C66" s="13" t="s">
        <v>11</v>
      </c>
      <c r="D66" s="281">
        <f>'Исходные данные тепло'!F67</f>
        <v>0</v>
      </c>
      <c r="E66" s="206">
        <f t="shared" si="73"/>
        <v>0</v>
      </c>
      <c r="F66" s="206">
        <f t="shared" ref="F66:V66" si="75">E66</f>
        <v>0</v>
      </c>
      <c r="G66" s="206">
        <f t="shared" si="75"/>
        <v>0</v>
      </c>
      <c r="H66" s="206">
        <f t="shared" si="75"/>
        <v>0</v>
      </c>
      <c r="I66" s="206">
        <f t="shared" si="75"/>
        <v>0</v>
      </c>
      <c r="J66" s="206">
        <f t="shared" si="75"/>
        <v>0</v>
      </c>
      <c r="K66" s="206">
        <f t="shared" si="75"/>
        <v>0</v>
      </c>
      <c r="L66" s="206">
        <f t="shared" si="75"/>
        <v>0</v>
      </c>
      <c r="M66" s="206">
        <f t="shared" si="75"/>
        <v>0</v>
      </c>
      <c r="N66" s="206">
        <f t="shared" si="75"/>
        <v>0</v>
      </c>
      <c r="O66" s="206">
        <f t="shared" ref="O66:O67" si="76">N66</f>
        <v>0</v>
      </c>
      <c r="P66" s="206">
        <f t="shared" ref="P66:P67" si="77">O66</f>
        <v>0</v>
      </c>
      <c r="Q66" s="206">
        <f t="shared" ref="Q66:Q67" si="78">P66</f>
        <v>0</v>
      </c>
      <c r="R66" s="206">
        <f t="shared" ref="R66:R67" si="79">Q66</f>
        <v>0</v>
      </c>
      <c r="S66" s="206">
        <f t="shared" ref="S66:S67" si="80">R66</f>
        <v>0</v>
      </c>
      <c r="T66" s="51">
        <f t="shared" si="75"/>
        <v>0</v>
      </c>
      <c r="U66" s="51">
        <f t="shared" si="75"/>
        <v>0</v>
      </c>
      <c r="V66" s="51">
        <f t="shared" si="75"/>
        <v>0</v>
      </c>
    </row>
    <row r="67" spans="1:31" x14ac:dyDescent="0.25">
      <c r="A67" s="10"/>
      <c r="B67" s="17" t="str">
        <f>'Исходные данные тепло'!A68</f>
        <v>транспортный налог</v>
      </c>
      <c r="C67" s="13" t="s">
        <v>11</v>
      </c>
      <c r="D67" s="281">
        <f>'Исходные данные тепло'!F68</f>
        <v>0</v>
      </c>
      <c r="E67" s="206">
        <f t="shared" si="73"/>
        <v>0</v>
      </c>
      <c r="F67" s="206">
        <f t="shared" ref="F67:V67" si="81">E67</f>
        <v>0</v>
      </c>
      <c r="G67" s="206">
        <f t="shared" si="81"/>
        <v>0</v>
      </c>
      <c r="H67" s="206">
        <f t="shared" si="81"/>
        <v>0</v>
      </c>
      <c r="I67" s="206">
        <f t="shared" si="81"/>
        <v>0</v>
      </c>
      <c r="J67" s="206">
        <f t="shared" si="81"/>
        <v>0</v>
      </c>
      <c r="K67" s="206">
        <f t="shared" si="81"/>
        <v>0</v>
      </c>
      <c r="L67" s="206">
        <f t="shared" si="81"/>
        <v>0</v>
      </c>
      <c r="M67" s="206">
        <f t="shared" si="81"/>
        <v>0</v>
      </c>
      <c r="N67" s="206">
        <f t="shared" si="81"/>
        <v>0</v>
      </c>
      <c r="O67" s="206">
        <f t="shared" si="76"/>
        <v>0</v>
      </c>
      <c r="P67" s="206">
        <f t="shared" si="77"/>
        <v>0</v>
      </c>
      <c r="Q67" s="206">
        <f t="shared" si="78"/>
        <v>0</v>
      </c>
      <c r="R67" s="206">
        <f t="shared" si="79"/>
        <v>0</v>
      </c>
      <c r="S67" s="206">
        <f t="shared" si="80"/>
        <v>0</v>
      </c>
      <c r="T67" s="51">
        <f t="shared" si="81"/>
        <v>0</v>
      </c>
      <c r="U67" s="51">
        <f t="shared" si="81"/>
        <v>0</v>
      </c>
      <c r="V67" s="51">
        <f t="shared" si="81"/>
        <v>0</v>
      </c>
    </row>
    <row r="68" spans="1:31" x14ac:dyDescent="0.25">
      <c r="A68" s="10"/>
      <c r="B68" s="17" t="str">
        <f>'Исходные данные тепло'!A69</f>
        <v>налог на прибыль</v>
      </c>
      <c r="C68" s="13" t="s">
        <v>11</v>
      </c>
      <c r="D68" s="281">
        <f>'Исходные данные тепло'!F69</f>
        <v>0</v>
      </c>
      <c r="E68" s="206">
        <f t="shared" si="73"/>
        <v>0</v>
      </c>
      <c r="F68" s="206">
        <f t="shared" ref="F68:V68" si="82">((F76+F78)/0.8)-(F76+F78)</f>
        <v>492.87089790177174</v>
      </c>
      <c r="G68" s="206">
        <f t="shared" si="82"/>
        <v>531.74499083936007</v>
      </c>
      <c r="H68" s="206">
        <f t="shared" si="82"/>
        <v>542.74938560492183</v>
      </c>
      <c r="I68" s="206">
        <f t="shared" si="82"/>
        <v>516.05028366937222</v>
      </c>
      <c r="J68" s="206">
        <f t="shared" si="82"/>
        <v>501.8036231366184</v>
      </c>
      <c r="K68" s="206">
        <f t="shared" si="82"/>
        <v>500.06983098802129</v>
      </c>
      <c r="L68" s="206">
        <f t="shared" si="82"/>
        <v>498.35673538822812</v>
      </c>
      <c r="M68" s="206">
        <f t="shared" si="82"/>
        <v>496.6377691285204</v>
      </c>
      <c r="N68" s="206">
        <f t="shared" si="82"/>
        <v>494.88379188401859</v>
      </c>
      <c r="O68" s="206">
        <f t="shared" si="82"/>
        <v>414.89274615955992</v>
      </c>
      <c r="P68" s="206">
        <f t="shared" si="82"/>
        <v>413.54223552611666</v>
      </c>
      <c r="Q68" s="206">
        <f t="shared" si="82"/>
        <v>413.44973971956438</v>
      </c>
      <c r="R68" s="206">
        <f t="shared" si="82"/>
        <v>413.34847301679633</v>
      </c>
      <c r="S68" s="206">
        <f t="shared" si="82"/>
        <v>413.23988984583616</v>
      </c>
      <c r="T68" s="50" t="e">
        <f t="shared" ca="1" si="82"/>
        <v>#DIV/0!</v>
      </c>
      <c r="U68" s="50" t="e">
        <f t="shared" ca="1" si="82"/>
        <v>#DIV/0!</v>
      </c>
      <c r="V68" s="50" t="e">
        <f t="shared" ca="1" si="82"/>
        <v>#DIV/0!</v>
      </c>
    </row>
    <row r="69" spans="1:31" x14ac:dyDescent="0.25">
      <c r="A69" s="10"/>
      <c r="B69" s="17" t="str">
        <f>'Исходные данные тепло'!A70</f>
        <v>негативные расходы</v>
      </c>
      <c r="C69" s="13" t="s">
        <v>11</v>
      </c>
      <c r="D69" s="281">
        <f>'Исходные данные тепло'!F70</f>
        <v>2</v>
      </c>
      <c r="E69" s="206">
        <f t="shared" si="73"/>
        <v>2</v>
      </c>
      <c r="F69" s="206">
        <f t="shared" ref="F69:N69" si="83">E69</f>
        <v>2</v>
      </c>
      <c r="G69" s="206">
        <f t="shared" si="83"/>
        <v>2</v>
      </c>
      <c r="H69" s="206">
        <f t="shared" si="83"/>
        <v>2</v>
      </c>
      <c r="I69" s="206">
        <f t="shared" si="83"/>
        <v>2</v>
      </c>
      <c r="J69" s="206">
        <f t="shared" si="83"/>
        <v>2</v>
      </c>
      <c r="K69" s="206">
        <f t="shared" si="83"/>
        <v>2</v>
      </c>
      <c r="L69" s="206">
        <f t="shared" si="83"/>
        <v>2</v>
      </c>
      <c r="M69" s="206">
        <f t="shared" si="83"/>
        <v>2</v>
      </c>
      <c r="N69" s="206">
        <f t="shared" si="83"/>
        <v>2</v>
      </c>
      <c r="O69" s="206">
        <f t="shared" ref="O69" si="84">N69</f>
        <v>2</v>
      </c>
      <c r="P69" s="206">
        <f t="shared" ref="P69" si="85">O69</f>
        <v>2</v>
      </c>
      <c r="Q69" s="206">
        <f t="shared" ref="Q69" si="86">P69</f>
        <v>2</v>
      </c>
      <c r="R69" s="206">
        <f t="shared" ref="R69" si="87">Q69</f>
        <v>2</v>
      </c>
      <c r="S69" s="206">
        <f t="shared" ref="S69" si="88">R69</f>
        <v>2</v>
      </c>
      <c r="T69" s="50"/>
      <c r="U69" s="50"/>
      <c r="V69" s="50"/>
    </row>
    <row r="70" spans="1:31" x14ac:dyDescent="0.25">
      <c r="A70" s="10"/>
      <c r="B70" s="17" t="str">
        <f>'Исходные данные тепло'!A71</f>
        <v>сбытовые расходы ГО</v>
      </c>
      <c r="C70" s="13" t="s">
        <v>11</v>
      </c>
      <c r="D70" s="281">
        <f>'Исходные данные тепло'!F71</f>
        <v>0</v>
      </c>
      <c r="E70" s="286">
        <f>D19*'Исходные данные тепло'!E87/'Исходные данные тепло'!E91*'Исходные данные общие'!B12*0</f>
        <v>0</v>
      </c>
      <c r="F70" s="286">
        <f>E19*'Исходные данные тепло'!F87/'Исходные данные тепло'!F91*'Исходные данные общие'!C12</f>
        <v>418.67941084745479</v>
      </c>
      <c r="G70" s="286">
        <f>F19*'Исходные данные тепло'!G87/'Исходные данные тепло'!G91*'Исходные данные общие'!D12</f>
        <v>450.02748176087204</v>
      </c>
      <c r="H70" s="286">
        <f>G19*'Исходные данные тепло'!H87/'Исходные данные тепло'!H91*'Исходные данные общие'!E12</f>
        <v>477.33059513768785</v>
      </c>
      <c r="I70" s="286">
        <f>H19*'Исходные данные тепло'!I87/'Исходные данные тепло'!I91*'Исходные данные общие'!F12</f>
        <v>482.92723963611456</v>
      </c>
      <c r="J70" s="286">
        <f>I19*'Исходные данные тепло'!J87/'Исходные данные тепло'!J91*'Исходные данные общие'!G12</f>
        <v>485.80242392959781</v>
      </c>
      <c r="K70" s="286">
        <f>J19*'Исходные данные тепло'!K87/'Исходные данные тепло'!K91*'Исходные данные общие'!H12</f>
        <v>489.81511425200773</v>
      </c>
      <c r="L70" s="286">
        <f>K19*'Исходные данные тепло'!L87/'Исходные данные тепло'!L91*'Исходные данные общие'!I12</f>
        <v>495.05921571228117</v>
      </c>
      <c r="M70" s="286">
        <f>L19*'Исходные данные тепло'!M87/'Исходные данные тепло'!M91*'Исходные данные общие'!J12</f>
        <v>500.56060350005208</v>
      </c>
      <c r="N70" s="286">
        <f>M19*'Исходные данные тепло'!N87/'Исходные данные тепло'!N91*'Исходные данные общие'!K12</f>
        <v>506.285171530355</v>
      </c>
      <c r="O70" s="286">
        <f>N19*'Исходные данные тепло'!O87/'Исходные данные тепло'!O91*'Исходные данные общие'!L12</f>
        <v>515.93229348255068</v>
      </c>
      <c r="P70" s="286">
        <f>O19*'Исходные данные тепло'!P87/'Исходные данные тепло'!P91*'Исходные данные общие'!M12</f>
        <v>415.45869372307726</v>
      </c>
      <c r="Q70" s="286">
        <f>P19*'Исходные данные тепло'!Q87/'Исходные данные тепло'!Q91*'Исходные данные общие'!N12</f>
        <v>421.68900020279261</v>
      </c>
      <c r="R70" s="286">
        <f>Q19*'Исходные данные тепло'!R87/'Исходные данные тепло'!R91*'Исходные данные общие'!O12</f>
        <v>428.24695733676299</v>
      </c>
      <c r="S70" s="286">
        <f>R19*'Исходные данные тепло'!S87/'Исходные данные тепло'!S91*'Исходные данные общие'!P12</f>
        <v>434.65389524239504</v>
      </c>
      <c r="T70" s="55">
        <f>S19*'Исходные данные тепло'!T87/'Исходные данные тепло'!T91*'Исходные данные общие'!Q12</f>
        <v>0</v>
      </c>
      <c r="U70" s="55" t="e">
        <f ca="1">T19*'Исходные данные тепло'!U87/'Исходные данные тепло'!U91*'Исходные данные общие'!R12</f>
        <v>#DIV/0!</v>
      </c>
      <c r="V70" s="55" t="e">
        <f ca="1">U19*'Исходные данные тепло'!V87/'Исходные данные тепло'!V91*'Исходные данные общие'!S12</f>
        <v>#DIV/0!</v>
      </c>
    </row>
    <row r="71" spans="1:31" ht="30" x14ac:dyDescent="0.25">
      <c r="A71" s="10"/>
      <c r="B71" s="17" t="str">
        <f>'Исходные данные тепло'!A72</f>
        <v>расходы по иным регулируемым видам деятельности</v>
      </c>
      <c r="C71" s="13" t="s">
        <v>11</v>
      </c>
      <c r="D71" s="281">
        <f>'Исходные данные тепло'!F72</f>
        <v>145</v>
      </c>
      <c r="E71" s="286">
        <f>D71</f>
        <v>145</v>
      </c>
      <c r="F71" s="286">
        <f>E71*F24</f>
        <v>151.96</v>
      </c>
      <c r="G71" s="286">
        <f t="shared" ref="G71:N71" si="89">F71*G24</f>
        <v>158.79820000000001</v>
      </c>
      <c r="H71" s="286">
        <f t="shared" si="89"/>
        <v>164.99132979999999</v>
      </c>
      <c r="I71" s="286">
        <f t="shared" si="89"/>
        <v>171.9209656516</v>
      </c>
      <c r="J71" s="286">
        <f t="shared" si="89"/>
        <v>178.62588331201238</v>
      </c>
      <c r="K71" s="286">
        <f t="shared" si="89"/>
        <v>185.41366687786885</v>
      </c>
      <c r="L71" s="286">
        <f t="shared" si="89"/>
        <v>192.45938621922787</v>
      </c>
      <c r="M71" s="286">
        <f t="shared" si="89"/>
        <v>199.38792412312009</v>
      </c>
      <c r="N71" s="286">
        <f t="shared" si="89"/>
        <v>206.36650146742929</v>
      </c>
      <c r="O71" s="286">
        <f t="shared" ref="O71" si="90">N71*O24</f>
        <v>213.38296251732189</v>
      </c>
      <c r="P71" s="286">
        <f t="shared" ref="P71" si="91">O71*P24</f>
        <v>220.42460028039349</v>
      </c>
      <c r="Q71" s="286">
        <f t="shared" ref="Q71" si="92">P71*Q24</f>
        <v>227.25776288908568</v>
      </c>
      <c r="R71" s="286">
        <f t="shared" ref="R71" si="93">Q71*R24</f>
        <v>233.84823801286916</v>
      </c>
      <c r="S71" s="286">
        <f t="shared" ref="S71" si="94">R71*S24</f>
        <v>240.3959886772295</v>
      </c>
      <c r="T71" s="55"/>
      <c r="U71" s="55"/>
      <c r="V71" s="55"/>
    </row>
    <row r="72" spans="1:31" ht="21.75" customHeight="1" x14ac:dyDescent="0.25">
      <c r="A72" s="10"/>
      <c r="B72" s="17" t="str">
        <f>'Исходные данные тепло'!A73</f>
        <v>Соц развитие</v>
      </c>
      <c r="C72" s="13" t="s">
        <v>11</v>
      </c>
      <c r="D72" s="281">
        <f>'Исходные данные тепло'!F73</f>
        <v>0</v>
      </c>
      <c r="E72" s="286">
        <f>D72</f>
        <v>0</v>
      </c>
      <c r="F72" s="286">
        <f>E72*F24*F23</f>
        <v>0</v>
      </c>
      <c r="G72" s="286">
        <f t="shared" ref="G72:N72" si="95">F72*G24*G23</f>
        <v>0</v>
      </c>
      <c r="H72" s="286">
        <f t="shared" si="95"/>
        <v>0</v>
      </c>
      <c r="I72" s="286">
        <f t="shared" si="95"/>
        <v>0</v>
      </c>
      <c r="J72" s="286">
        <f t="shared" si="95"/>
        <v>0</v>
      </c>
      <c r="K72" s="286">
        <f t="shared" si="95"/>
        <v>0</v>
      </c>
      <c r="L72" s="286">
        <f t="shared" si="95"/>
        <v>0</v>
      </c>
      <c r="M72" s="286">
        <f t="shared" si="95"/>
        <v>0</v>
      </c>
      <c r="N72" s="286">
        <f t="shared" si="95"/>
        <v>0</v>
      </c>
      <c r="O72" s="286">
        <f t="shared" ref="O72" si="96">N72*O24*O23</f>
        <v>0</v>
      </c>
      <c r="P72" s="286">
        <f t="shared" ref="P72" si="97">O72*P24*P23</f>
        <v>0</v>
      </c>
      <c r="Q72" s="286">
        <f t="shared" ref="Q72" si="98">P72*Q24*Q23</f>
        <v>0</v>
      </c>
      <c r="R72" s="286">
        <f t="shared" ref="R72" si="99">Q72*R24*R23</f>
        <v>0</v>
      </c>
      <c r="S72" s="286">
        <f t="shared" ref="S72" si="100">R72*S24*S23</f>
        <v>0</v>
      </c>
      <c r="T72" s="55"/>
      <c r="U72" s="55"/>
      <c r="V72" s="55"/>
    </row>
    <row r="73" spans="1:31" x14ac:dyDescent="0.25">
      <c r="A73" s="10"/>
      <c r="B73" s="17" t="str">
        <f>'Исходные данные тепло'!A74</f>
        <v>Арендная плата</v>
      </c>
      <c r="C73" s="13" t="s">
        <v>11</v>
      </c>
      <c r="D73" s="281">
        <f>'Исходные данные тепло'!F74</f>
        <v>353</v>
      </c>
      <c r="E73" s="286">
        <f>D73</f>
        <v>353</v>
      </c>
      <c r="F73" s="286">
        <f t="shared" ref="F73:N73" si="101">E73</f>
        <v>353</v>
      </c>
      <c r="G73" s="286">
        <f t="shared" si="101"/>
        <v>353</v>
      </c>
      <c r="H73" s="286">
        <f t="shared" si="101"/>
        <v>353</v>
      </c>
      <c r="I73" s="286">
        <f t="shared" si="101"/>
        <v>353</v>
      </c>
      <c r="J73" s="286">
        <f t="shared" si="101"/>
        <v>353</v>
      </c>
      <c r="K73" s="286">
        <f t="shared" si="101"/>
        <v>353</v>
      </c>
      <c r="L73" s="286">
        <f t="shared" si="101"/>
        <v>353</v>
      </c>
      <c r="M73" s="286">
        <f t="shared" si="101"/>
        <v>353</v>
      </c>
      <c r="N73" s="286">
        <f t="shared" si="101"/>
        <v>353</v>
      </c>
      <c r="O73" s="286">
        <f t="shared" ref="O73" si="102">N73</f>
        <v>353</v>
      </c>
      <c r="P73" s="286">
        <f t="shared" ref="P73" si="103">O73</f>
        <v>353</v>
      </c>
      <c r="Q73" s="286">
        <f t="shared" ref="Q73" si="104">P73</f>
        <v>353</v>
      </c>
      <c r="R73" s="286">
        <f t="shared" ref="R73" si="105">Q73</f>
        <v>353</v>
      </c>
      <c r="S73" s="286">
        <f t="shared" ref="S73" si="106">R73</f>
        <v>353</v>
      </c>
      <c r="T73" s="55"/>
      <c r="U73" s="55"/>
      <c r="V73" s="55"/>
    </row>
    <row r="74" spans="1:31" x14ac:dyDescent="0.25">
      <c r="A74" s="10"/>
      <c r="B74" s="17" t="s">
        <v>236</v>
      </c>
      <c r="C74" s="13" t="s">
        <v>11</v>
      </c>
      <c r="D74" s="281">
        <f>'Исходные данные тепло'!F75</f>
        <v>0</v>
      </c>
      <c r="E74" s="286">
        <f>D74</f>
        <v>0</v>
      </c>
      <c r="F74" s="286">
        <f>E74*F23*F24</f>
        <v>0</v>
      </c>
      <c r="G74" s="286">
        <f t="shared" ref="G74:X74" si="107">F74*G23*G24</f>
        <v>0</v>
      </c>
      <c r="H74" s="286">
        <f t="shared" si="107"/>
        <v>0</v>
      </c>
      <c r="I74" s="286">
        <f t="shared" si="107"/>
        <v>0</v>
      </c>
      <c r="J74" s="286">
        <f t="shared" si="107"/>
        <v>0</v>
      </c>
      <c r="K74" s="286">
        <f t="shared" si="107"/>
        <v>0</v>
      </c>
      <c r="L74" s="286">
        <f t="shared" si="107"/>
        <v>0</v>
      </c>
      <c r="M74" s="286">
        <f t="shared" si="107"/>
        <v>0</v>
      </c>
      <c r="N74" s="286">
        <f t="shared" si="107"/>
        <v>0</v>
      </c>
      <c r="O74" s="286">
        <f t="shared" si="107"/>
        <v>0</v>
      </c>
      <c r="P74" s="286">
        <f t="shared" si="107"/>
        <v>0</v>
      </c>
      <c r="Q74" s="286">
        <f t="shared" si="107"/>
        <v>0</v>
      </c>
      <c r="R74" s="286">
        <f t="shared" si="107"/>
        <v>0</v>
      </c>
      <c r="S74" s="286">
        <f t="shared" si="107"/>
        <v>0</v>
      </c>
      <c r="T74" s="55">
        <f t="shared" si="107"/>
        <v>0</v>
      </c>
      <c r="U74" s="55">
        <f t="shared" si="107"/>
        <v>0</v>
      </c>
      <c r="V74" s="55">
        <f t="shared" si="107"/>
        <v>0</v>
      </c>
      <c r="W74" s="55">
        <f t="shared" si="107"/>
        <v>0</v>
      </c>
      <c r="X74" s="55">
        <f t="shared" si="107"/>
        <v>0</v>
      </c>
    </row>
    <row r="75" spans="1:31" x14ac:dyDescent="0.25">
      <c r="A75" s="10" t="s">
        <v>25</v>
      </c>
      <c r="B75" s="14" t="s">
        <v>13</v>
      </c>
      <c r="C75" s="13" t="s">
        <v>11</v>
      </c>
      <c r="D75" s="281">
        <f>'Исходные данные тепло'!F76</f>
        <v>6329</v>
      </c>
      <c r="E75" s="206">
        <f>D75</f>
        <v>6329</v>
      </c>
      <c r="F75" s="206">
        <f>'Амортизация тепло'!D32</f>
        <v>6329.1139240506327</v>
      </c>
      <c r="G75" s="206">
        <f>'Амортизация тепло'!E32</f>
        <v>6608.774940999785</v>
      </c>
      <c r="H75" s="206">
        <f>'Амортизация тепло'!F32</f>
        <v>6608.774940999785</v>
      </c>
      <c r="I75" s="206">
        <f>'Амортизация тепло'!G32</f>
        <v>6608.774940999785</v>
      </c>
      <c r="J75" s="206">
        <f>'Амортизация тепло'!H32</f>
        <v>6608.774940999785</v>
      </c>
      <c r="K75" s="206">
        <f>'Амортизация тепло'!I32</f>
        <v>6608.774940999785</v>
      </c>
      <c r="L75" s="206">
        <f>'Амортизация тепло'!J32</f>
        <v>6608.774940999785</v>
      </c>
      <c r="M75" s="206">
        <f>'Амортизация тепло'!K32</f>
        <v>6608.774940999785</v>
      </c>
      <c r="N75" s="206">
        <f>'Амортизация тепло'!L32</f>
        <v>6608.774940999785</v>
      </c>
      <c r="O75" s="206">
        <f>'Амортизация тепло'!M32</f>
        <v>279.66101694915255</v>
      </c>
      <c r="P75" s="206">
        <f>'Амортизация тепло'!N32</f>
        <v>279.66101694915255</v>
      </c>
      <c r="Q75" s="206">
        <f>'Амортизация тепло'!O32</f>
        <v>279.66101694915255</v>
      </c>
      <c r="R75" s="206">
        <f>'Амортизация тепло'!P32</f>
        <v>279.66101694915255</v>
      </c>
      <c r="S75" s="206">
        <f>'Амортизация тепло'!Q32</f>
        <v>279.66101694915255</v>
      </c>
      <c r="T75" s="50">
        <f>'Амортизация тепло'!R11</f>
        <v>1398.3050847457628</v>
      </c>
      <c r="U75" s="50">
        <f>'Амортизация тепло'!S11</f>
        <v>1398.3050847457628</v>
      </c>
      <c r="V75" s="50">
        <f>'Амортизация тепло'!T11</f>
        <v>1398.3050847457628</v>
      </c>
    </row>
    <row r="76" spans="1:31" x14ac:dyDescent="0.25">
      <c r="A76" s="10" t="s">
        <v>26</v>
      </c>
      <c r="B76" s="11" t="s">
        <v>14</v>
      </c>
      <c r="C76" s="13" t="s">
        <v>11</v>
      </c>
      <c r="D76" s="281">
        <f>'Исходные данные тепло'!F77</f>
        <v>1203.5</v>
      </c>
      <c r="E76" s="206">
        <f>'Исходные данные тепло'!B105</f>
        <v>1203.5</v>
      </c>
      <c r="F76" s="206">
        <f>'Исходные данные тепло'!C105</f>
        <v>1500</v>
      </c>
      <c r="G76" s="206">
        <f>'Исходные данные тепло'!D105</f>
        <v>1600</v>
      </c>
      <c r="H76" s="206">
        <f>'Исходные данные тепло'!E105</f>
        <v>1650</v>
      </c>
      <c r="I76" s="206">
        <f>'Исходные данные тепло'!F105</f>
        <v>1550</v>
      </c>
      <c r="J76" s="206">
        <f>'Исходные данные тепло'!G105</f>
        <v>1500</v>
      </c>
      <c r="K76" s="206">
        <f>'Исходные данные тепло'!H105</f>
        <v>1500</v>
      </c>
      <c r="L76" s="206">
        <f>'Исходные данные тепло'!I105</f>
        <v>1500</v>
      </c>
      <c r="M76" s="206">
        <f>'Исходные данные тепло'!J105</f>
        <v>1500</v>
      </c>
      <c r="N76" s="206">
        <f>'Исходные данные тепло'!K105</f>
        <v>1500</v>
      </c>
      <c r="O76" s="206">
        <f>'Исходные данные тепло'!L105</f>
        <v>1500</v>
      </c>
      <c r="P76" s="206">
        <f>'Исходные данные тепло'!M105</f>
        <v>1500</v>
      </c>
      <c r="Q76" s="206">
        <f>'Исходные данные тепло'!N105</f>
        <v>1500</v>
      </c>
      <c r="R76" s="206">
        <f>'Исходные данные тепло'!O105</f>
        <v>1500</v>
      </c>
      <c r="S76" s="206">
        <f>'Исходные данные тепло'!P105</f>
        <v>1500</v>
      </c>
      <c r="T76" s="74">
        <v>63000</v>
      </c>
      <c r="U76" s="74">
        <v>50000</v>
      </c>
      <c r="V76" s="74">
        <v>45598</v>
      </c>
      <c r="W76" s="22"/>
    </row>
    <row r="77" spans="1:31" x14ac:dyDescent="0.25">
      <c r="A77" s="10"/>
      <c r="B77" s="17" t="s">
        <v>43</v>
      </c>
      <c r="C77" s="13" t="s">
        <v>7</v>
      </c>
      <c r="D77" s="281">
        <v>0</v>
      </c>
      <c r="E77" s="287">
        <f t="shared" ref="E77:V77" si="108">E76/E19</f>
        <v>4.5763471929959408E-2</v>
      </c>
      <c r="F77" s="287">
        <f t="shared" si="108"/>
        <v>5.3064820416758897E-2</v>
      </c>
      <c r="G77" s="287">
        <f t="shared" si="108"/>
        <v>5.3364836855643742E-2</v>
      </c>
      <c r="H77" s="287">
        <f t="shared" si="108"/>
        <v>5.4394716422012261E-2</v>
      </c>
      <c r="I77" s="287">
        <f t="shared" si="108"/>
        <v>5.0795646961540486E-2</v>
      </c>
      <c r="J77" s="287">
        <f t="shared" si="108"/>
        <v>4.8754370388743126E-2</v>
      </c>
      <c r="K77" s="287">
        <f t="shared" si="108"/>
        <v>4.8237921332073282E-2</v>
      </c>
      <c r="L77" s="287">
        <f t="shared" si="108"/>
        <v>4.7707764724725148E-2</v>
      </c>
      <c r="M77" s="287">
        <f t="shared" si="108"/>
        <v>4.7168332878607964E-2</v>
      </c>
      <c r="N77" s="287">
        <f t="shared" si="108"/>
        <v>4.6286359283797346E-2</v>
      </c>
      <c r="O77" s="287">
        <f t="shared" si="108"/>
        <v>5.748014872006621E-2</v>
      </c>
      <c r="P77" s="287">
        <f t="shared" si="108"/>
        <v>5.6630899764429692E-2</v>
      </c>
      <c r="Q77" s="287">
        <f t="shared" si="108"/>
        <v>5.5763682830950678E-2</v>
      </c>
      <c r="R77" s="287">
        <f t="shared" si="108"/>
        <v>5.4941708250260408E-2</v>
      </c>
      <c r="S77" s="287">
        <f t="shared" si="108"/>
        <v>5.4129364080915426E-2</v>
      </c>
      <c r="T77" s="75" t="e">
        <f t="shared" ca="1" si="108"/>
        <v>#DIV/0!</v>
      </c>
      <c r="U77" s="75" t="e">
        <f t="shared" ca="1" si="108"/>
        <v>#DIV/0!</v>
      </c>
      <c r="V77" s="75" t="e">
        <f t="shared" ca="1" si="108"/>
        <v>#DIV/0!</v>
      </c>
    </row>
    <row r="78" spans="1:31" ht="15" customHeight="1" x14ac:dyDescent="0.25">
      <c r="A78" s="10" t="s">
        <v>27</v>
      </c>
      <c r="B78" s="14" t="s">
        <v>113</v>
      </c>
      <c r="C78" s="13" t="s">
        <v>11</v>
      </c>
      <c r="D78" s="281"/>
      <c r="E78" s="286">
        <f>(E75+E70+E67+E66+E65+E53+E22)*'Исходные данные тепло'!B106</f>
        <v>0</v>
      </c>
      <c r="F78" s="286">
        <f>(F75+F70+F67+F66+F65+F53+F22)*'Исходные данные тепло'!C106</f>
        <v>471.4835916070877</v>
      </c>
      <c r="G78" s="286">
        <f>(G75+G70+G67+G66+G65+G53+G22)*'Исходные данные тепло'!D106</f>
        <v>526.97996335744097</v>
      </c>
      <c r="H78" s="286">
        <f>(H75+H70+H67+H66+H65+H53+H22)*'Исходные данные тепло'!E106</f>
        <v>520.99754241968753</v>
      </c>
      <c r="I78" s="286">
        <f>(I75+I70+I67+I66+I65+I53+I22)*'Исходные данные тепло'!F106</f>
        <v>514.20113467749013</v>
      </c>
      <c r="J78" s="286">
        <f>(J75+J70+J67+J66+J65+J53+J22)*'Исходные данные тепло'!G106</f>
        <v>507.21449254647433</v>
      </c>
      <c r="K78" s="286">
        <f>(K75+K70+K67+K66+K65+K53+K22)*'Исходные данные тепло'!H106</f>
        <v>500.27932395208518</v>
      </c>
      <c r="L78" s="286">
        <f>(L75+L70+L67+L66+L65+L53+L22)*'Исходные данные тепло'!I106</f>
        <v>493.42694155291383</v>
      </c>
      <c r="M78" s="286">
        <f>(M75+M70+M67+M66+M65+M53+M22)*'Исходные данные тепло'!J106</f>
        <v>486.55107651408281</v>
      </c>
      <c r="N78" s="286">
        <f>(N75+N70+N67+N66+N65+N53+N22)*'Исходные данные тепло'!K106</f>
        <v>479.53516753607477</v>
      </c>
      <c r="O78" s="288">
        <f>(O75+O70+O67+O66+O65+O53+O22)*'Исходные данные тепло'!L106</f>
        <v>159.57098463823968</v>
      </c>
      <c r="P78" s="288">
        <f>(P75+P70+P67+P66+P65+P53+P22)*'Исходные данные тепло'!M106</f>
        <v>154.16894210446793</v>
      </c>
      <c r="Q78" s="288">
        <f>(Q75+Q70+Q67+Q66+Q65+Q53+Q22)*'Исходные данные тепло'!N106</f>
        <v>153.79895887825734</v>
      </c>
      <c r="R78" s="288">
        <f>(R75+R70+R67+R66+R65+R53+R22)*'Исходные данные тепло'!O106</f>
        <v>153.39389206718639</v>
      </c>
      <c r="S78" s="288">
        <f>(S75+S70+S67+S66+S65+S53+S22)*'Исходные данные тепло'!P106</f>
        <v>152.9595593833449</v>
      </c>
      <c r="T78" s="26" t="e">
        <f ca="1">(T75+T70+T67+T66+T65+T53+T22)*'Исходные данные тепло'!Q106</f>
        <v>#DIV/0!</v>
      </c>
      <c r="U78" s="26" t="e">
        <f ca="1">(U75+U70+U67+U66+U65+U53+U22)*'Исходные данные тепло'!R106</f>
        <v>#DIV/0!</v>
      </c>
      <c r="V78" s="26" t="e">
        <f ca="1">(V75+V70+V67+V66+V65+V53+V22)*'Исходные данные тепло'!S106</f>
        <v>#DIV/0!</v>
      </c>
      <c r="W78" s="22"/>
      <c r="X78" s="22"/>
      <c r="Y78" s="22"/>
      <c r="Z78" s="22"/>
      <c r="AA78" s="22"/>
      <c r="AB78" s="22"/>
      <c r="AC78" s="22"/>
      <c r="AD78" s="22"/>
      <c r="AE78" s="22"/>
    </row>
    <row r="79" spans="1:31" ht="15.75" customHeight="1" x14ac:dyDescent="0.25">
      <c r="A79" s="8" t="s">
        <v>18</v>
      </c>
      <c r="B79" s="9" t="s">
        <v>259</v>
      </c>
      <c r="C79" s="15" t="s">
        <v>260</v>
      </c>
      <c r="D79" s="289">
        <f>D19/D18*1000</f>
        <v>1790.6056404390336</v>
      </c>
      <c r="E79" s="228">
        <f>(E19-(E80/1000*E18*0.53597))/(E18*0.46403)*1000</f>
        <v>2002.306618190707</v>
      </c>
      <c r="F79" s="228">
        <f>(F19-(F80/1000*F18*0.53597))/(F18*0.46403)*1000</f>
        <v>2236.8166681944163</v>
      </c>
      <c r="G79" s="228">
        <f t="shared" ref="G79:S79" si="109">(G19-(G80/1000*G18*0.53597))/(G18*0.46403)*1000</f>
        <v>2176.3176557535162</v>
      </c>
      <c r="H79" s="228">
        <f t="shared" si="109"/>
        <v>2093.026897474304</v>
      </c>
      <c r="I79" s="228">
        <f t="shared" si="109"/>
        <v>2091.8798943587849</v>
      </c>
      <c r="J79" s="228">
        <f t="shared" si="109"/>
        <v>2114.6604409939919</v>
      </c>
      <c r="K79" s="228">
        <f t="shared" si="109"/>
        <v>2143.1713556261352</v>
      </c>
      <c r="L79" s="228">
        <f t="shared" si="109"/>
        <v>2167.9706114938963</v>
      </c>
      <c r="M79" s="228">
        <f t="shared" si="109"/>
        <v>2193.555884751855</v>
      </c>
      <c r="N79" s="228">
        <f t="shared" si="109"/>
        <v>2254.1914227260036</v>
      </c>
      <c r="O79" s="228">
        <f t="shared" si="109"/>
        <v>1280.5079221561148</v>
      </c>
      <c r="P79" s="228">
        <f t="shared" si="109"/>
        <v>1834.253743409002</v>
      </c>
      <c r="Q79" s="228">
        <f t="shared" si="109"/>
        <v>1863.919317261707</v>
      </c>
      <c r="R79" s="228">
        <f t="shared" si="109"/>
        <v>1890.5744609672142</v>
      </c>
      <c r="S79" s="228">
        <f t="shared" si="109"/>
        <v>1919.045779386752</v>
      </c>
      <c r="T79" s="18" t="e">
        <f t="shared" ref="T79:V79" ca="1" si="110">T19/T18</f>
        <v>#DIV/0!</v>
      </c>
      <c r="U79" s="18" t="e">
        <f t="shared" ca="1" si="110"/>
        <v>#DIV/0!</v>
      </c>
      <c r="V79" s="18" t="e">
        <f t="shared" ca="1" si="110"/>
        <v>#DIV/0!</v>
      </c>
    </row>
    <row r="80" spans="1:31" x14ac:dyDescent="0.25">
      <c r="A80" s="8"/>
      <c r="B80" s="9" t="s">
        <v>33</v>
      </c>
      <c r="C80" s="15" t="s">
        <v>260</v>
      </c>
      <c r="D80" s="289">
        <v>1607.32</v>
      </c>
      <c r="E80" s="290">
        <f>D80</f>
        <v>1607.32</v>
      </c>
      <c r="F80" s="290">
        <f>E81</f>
        <v>1654.43</v>
      </c>
      <c r="G80" s="290">
        <f>F81</f>
        <v>1924.6748856422548</v>
      </c>
      <c r="H80" s="290">
        <f>G81</f>
        <v>2041.4446802569835</v>
      </c>
      <c r="I80" s="290">
        <f t="shared" ref="I80:J80" si="111">H81</f>
        <v>2065.3803765123366</v>
      </c>
      <c r="J80" s="290">
        <f t="shared" si="111"/>
        <v>2077.6769477786238</v>
      </c>
      <c r="K80" s="290">
        <f t="shared" ref="K80" si="112">J81</f>
        <v>2094.8383981353513</v>
      </c>
      <c r="L80" s="290">
        <f t="shared" ref="L80" si="113">K81</f>
        <v>2117.2663403997999</v>
      </c>
      <c r="M80" s="290">
        <f t="shared" ref="M80" si="114">L81</f>
        <v>2140.7946433155935</v>
      </c>
      <c r="N80" s="290">
        <f t="shared" ref="N80" si="115">M81</f>
        <v>2165.2774421792619</v>
      </c>
      <c r="O80" s="290">
        <f t="shared" ref="O80" si="116">N81</f>
        <v>2206.5361965723664</v>
      </c>
      <c r="P80" s="290">
        <f t="shared" ref="P80" si="117">O81</f>
        <v>1776.8312963949929</v>
      </c>
      <c r="Q80" s="290">
        <f t="shared" ref="Q80" si="118">P81</f>
        <v>1803.4770344829037</v>
      </c>
      <c r="R80" s="290">
        <f t="shared" ref="R80" si="119">Q81</f>
        <v>1831.5240669607517</v>
      </c>
      <c r="S80" s="290">
        <f t="shared" ref="S80" si="120">R81</f>
        <v>1858.9252212915703</v>
      </c>
      <c r="T80" s="19">
        <f t="shared" ref="T80" si="121">S81</f>
        <v>1886.8229638644773</v>
      </c>
      <c r="U80" s="19" t="e">
        <f t="shared" ref="U80" ca="1" si="122">T81</f>
        <v>#DIV/0!</v>
      </c>
      <c r="V80" s="19" t="e">
        <f t="shared" ref="V80" ca="1" si="123">U81</f>
        <v>#DIV/0!</v>
      </c>
      <c r="W80" s="22"/>
    </row>
    <row r="81" spans="1:26" x14ac:dyDescent="0.25">
      <c r="A81" s="25"/>
      <c r="B81" s="23" t="s">
        <v>34</v>
      </c>
      <c r="C81" s="15" t="s">
        <v>260</v>
      </c>
      <c r="D81" s="291">
        <f>'Исходные данные тепло'!F82</f>
        <v>1654.43</v>
      </c>
      <c r="E81" s="228">
        <v>1654.43</v>
      </c>
      <c r="F81" s="228">
        <f>F19/F18*1000</f>
        <v>1924.6748856422548</v>
      </c>
      <c r="G81" s="228">
        <f t="shared" ref="G81:V81" si="124">G19/G18*1000</f>
        <v>2041.4446802569835</v>
      </c>
      <c r="H81" s="228">
        <f t="shared" si="124"/>
        <v>2065.3803765123366</v>
      </c>
      <c r="I81" s="228">
        <f t="shared" si="124"/>
        <v>2077.6769477786238</v>
      </c>
      <c r="J81" s="228">
        <f t="shared" si="124"/>
        <v>2094.8383981353513</v>
      </c>
      <c r="K81" s="228">
        <f t="shared" si="124"/>
        <v>2117.2663403997999</v>
      </c>
      <c r="L81" s="228">
        <f t="shared" si="124"/>
        <v>2140.7946433155935</v>
      </c>
      <c r="M81" s="228">
        <f t="shared" si="124"/>
        <v>2165.2774421792619</v>
      </c>
      <c r="N81" s="228">
        <f t="shared" si="124"/>
        <v>2206.5361965723664</v>
      </c>
      <c r="O81" s="228">
        <f t="shared" si="124"/>
        <v>1776.8312963949929</v>
      </c>
      <c r="P81" s="228">
        <f t="shared" si="124"/>
        <v>1803.4770344829037</v>
      </c>
      <c r="Q81" s="228">
        <f t="shared" si="124"/>
        <v>1831.5240669607517</v>
      </c>
      <c r="R81" s="228">
        <f t="shared" si="124"/>
        <v>1858.9252212915703</v>
      </c>
      <c r="S81" s="228">
        <f t="shared" si="124"/>
        <v>1886.8229638644773</v>
      </c>
      <c r="T81" s="43" t="e">
        <f t="shared" ca="1" si="124"/>
        <v>#DIV/0!</v>
      </c>
      <c r="U81" s="43" t="e">
        <f t="shared" ca="1" si="124"/>
        <v>#DIV/0!</v>
      </c>
      <c r="V81" s="43" t="e">
        <f t="shared" ca="1" si="124"/>
        <v>#DIV/0!</v>
      </c>
      <c r="W81" s="43" t="e">
        <f t="shared" ref="W81:X81" si="125">(W19-(W80/1000*W18*0.53597))/(W18*0.46403)*1000</f>
        <v>#DIV/0!</v>
      </c>
      <c r="X81" s="43" t="e">
        <f t="shared" si="125"/>
        <v>#DIV/0!</v>
      </c>
    </row>
    <row r="82" spans="1:26" x14ac:dyDescent="0.25">
      <c r="A82" s="25" t="s">
        <v>32</v>
      </c>
      <c r="B82" s="23" t="s">
        <v>35</v>
      </c>
      <c r="C82" s="16" t="s">
        <v>7</v>
      </c>
      <c r="D82" s="292">
        <f>D81/D80</f>
        <v>1.0293096583132171</v>
      </c>
      <c r="E82" s="293">
        <f>E81/E80</f>
        <v>1.0293096583132171</v>
      </c>
      <c r="F82" s="293">
        <f t="shared" ref="F82:K82" si="126">F81/F80</f>
        <v>1.1633462193276565</v>
      </c>
      <c r="G82" s="293">
        <f t="shared" si="126"/>
        <v>1.0606698801370618</v>
      </c>
      <c r="H82" s="293">
        <f t="shared" si="126"/>
        <v>1.0117248811524691</v>
      </c>
      <c r="I82" s="293">
        <f t="shared" si="126"/>
        <v>1.0059536593869705</v>
      </c>
      <c r="J82" s="293">
        <f t="shared" si="126"/>
        <v>1.008259922397982</v>
      </c>
      <c r="K82" s="293">
        <f t="shared" si="126"/>
        <v>1.010706287551542</v>
      </c>
      <c r="L82" s="293">
        <f>L81/K81</f>
        <v>1.0111125853497254</v>
      </c>
      <c r="M82" s="293">
        <f t="shared" ref="M82:V82" si="127">M81/L81</f>
        <v>1.0114363135857583</v>
      </c>
      <c r="N82" s="293">
        <f t="shared" si="127"/>
        <v>1.0190547195428126</v>
      </c>
      <c r="O82" s="293">
        <f t="shared" si="127"/>
        <v>0.80525816850642329</v>
      </c>
      <c r="P82" s="293">
        <f t="shared" si="127"/>
        <v>1.0149962115941857</v>
      </c>
      <c r="Q82" s="293">
        <f t="shared" si="127"/>
        <v>1.0155516438200112</v>
      </c>
      <c r="R82" s="293">
        <f t="shared" si="127"/>
        <v>1.014960848631538</v>
      </c>
      <c r="S82" s="293">
        <f t="shared" si="127"/>
        <v>1.015007458209386</v>
      </c>
      <c r="T82" s="48" t="e">
        <f t="shared" ca="1" si="127"/>
        <v>#DIV/0!</v>
      </c>
      <c r="U82" s="48" t="e">
        <f t="shared" ca="1" si="127"/>
        <v>#DIV/0!</v>
      </c>
      <c r="V82" s="48" t="e">
        <f t="shared" ca="1" si="127"/>
        <v>#DIV/0!</v>
      </c>
    </row>
    <row r="83" spans="1:26" s="31" customFormat="1" x14ac:dyDescent="0.25">
      <c r="A83" s="25" t="s">
        <v>109</v>
      </c>
      <c r="B83" s="23" t="s">
        <v>110</v>
      </c>
      <c r="C83" s="16" t="s">
        <v>7</v>
      </c>
      <c r="D83" s="294"/>
      <c r="E83" s="295">
        <f>E79/D79</f>
        <v>1.1182287003741187</v>
      </c>
      <c r="F83" s="295">
        <f>F79/E79</f>
        <v>1.1171199494988502</v>
      </c>
      <c r="G83" s="295">
        <f>G79/F79</f>
        <v>0.9729530750994736</v>
      </c>
      <c r="H83" s="295">
        <f t="shared" ref="H83:S83" si="128">H79/G79</f>
        <v>0.96172858403320993</v>
      </c>
      <c r="I83" s="295">
        <f t="shared" si="128"/>
        <v>0.99945198835385096</v>
      </c>
      <c r="J83" s="295">
        <f t="shared" si="128"/>
        <v>1.0108899878509467</v>
      </c>
      <c r="K83" s="295">
        <f t="shared" si="128"/>
        <v>1.0134825024762566</v>
      </c>
      <c r="L83" s="295">
        <f t="shared" si="128"/>
        <v>1.0115712893430846</v>
      </c>
      <c r="M83" s="295">
        <f t="shared" si="128"/>
        <v>1.0118014852795114</v>
      </c>
      <c r="N83" s="295">
        <f t="shared" si="128"/>
        <v>1.0276425772398354</v>
      </c>
      <c r="O83" s="295">
        <f t="shared" si="128"/>
        <v>0.56805642557524727</v>
      </c>
      <c r="P83" s="295">
        <f t="shared" si="128"/>
        <v>1.4324423236058486</v>
      </c>
      <c r="Q83" s="295">
        <f t="shared" si="128"/>
        <v>1.0161731025270095</v>
      </c>
      <c r="R83" s="295">
        <f t="shared" si="128"/>
        <v>1.0143005887962289</v>
      </c>
      <c r="S83" s="295">
        <f t="shared" si="128"/>
        <v>1.0150596123069238</v>
      </c>
      <c r="T83" s="30"/>
      <c r="U83" s="30"/>
      <c r="V83" s="30"/>
    </row>
    <row r="85" spans="1:26" x14ac:dyDescent="0.25">
      <c r="B85" s="23" t="s">
        <v>41</v>
      </c>
      <c r="C85" s="13" t="s">
        <v>11</v>
      </c>
      <c r="D85" s="296">
        <v>0</v>
      </c>
      <c r="E85" s="297">
        <f>SUM(E86:E89)</f>
        <v>50000</v>
      </c>
      <c r="F85" s="297"/>
      <c r="G85" s="297">
        <f t="shared" ref="G85:V85" si="129">SUM(G86:G89)</f>
        <v>0</v>
      </c>
      <c r="H85" s="297">
        <f t="shared" si="129"/>
        <v>0</v>
      </c>
      <c r="I85" s="297">
        <f t="shared" si="129"/>
        <v>0</v>
      </c>
      <c r="J85" s="297">
        <f t="shared" si="129"/>
        <v>0</v>
      </c>
      <c r="K85" s="297">
        <f t="shared" si="129"/>
        <v>0</v>
      </c>
      <c r="L85" s="297">
        <f t="shared" si="129"/>
        <v>0</v>
      </c>
      <c r="M85" s="297">
        <f t="shared" si="129"/>
        <v>0</v>
      </c>
      <c r="N85" s="297">
        <f t="shared" si="129"/>
        <v>0</v>
      </c>
      <c r="O85" s="297">
        <f t="shared" si="129"/>
        <v>0</v>
      </c>
      <c r="P85" s="297">
        <f t="shared" si="129"/>
        <v>0</v>
      </c>
      <c r="Q85" s="297">
        <f t="shared" si="129"/>
        <v>0</v>
      </c>
      <c r="R85" s="297">
        <f t="shared" si="129"/>
        <v>0</v>
      </c>
      <c r="S85" s="297">
        <f t="shared" si="129"/>
        <v>0</v>
      </c>
      <c r="T85" s="52">
        <f t="shared" si="129"/>
        <v>0</v>
      </c>
      <c r="U85" s="52">
        <f t="shared" si="129"/>
        <v>0</v>
      </c>
      <c r="V85" s="52">
        <f t="shared" si="129"/>
        <v>0</v>
      </c>
      <c r="Z85" t="s">
        <v>77</v>
      </c>
    </row>
    <row r="86" spans="1:26" x14ac:dyDescent="0.25">
      <c r="B86" s="24" t="str">
        <f>'Исходные данные тепло'!A124</f>
        <v>Фонд ЖКХ</v>
      </c>
      <c r="C86" s="13" t="s">
        <v>11</v>
      </c>
      <c r="D86" s="296">
        <v>0</v>
      </c>
      <c r="E86" s="286">
        <f>'Исходные данные тепло'!B115</f>
        <v>30000</v>
      </c>
      <c r="F86" s="286">
        <f>'Исходные данные тепло'!C115</f>
        <v>0</v>
      </c>
      <c r="G86" s="286">
        <f>'Исходные данные тепло'!D115</f>
        <v>0</v>
      </c>
      <c r="H86" s="286">
        <f>'Исходные данные тепло'!E115</f>
        <v>0</v>
      </c>
      <c r="I86" s="286">
        <f>'Исходные данные тепло'!F115</f>
        <v>0</v>
      </c>
      <c r="J86" s="286">
        <f>'Исходные данные тепло'!G115</f>
        <v>0</v>
      </c>
      <c r="K86" s="286">
        <f>'Исходные данные тепло'!H115</f>
        <v>0</v>
      </c>
      <c r="L86" s="286">
        <f>'Исходные данные тепло'!I115</f>
        <v>0</v>
      </c>
      <c r="M86" s="286">
        <f>'Исходные данные тепло'!J115</f>
        <v>0</v>
      </c>
      <c r="N86" s="286">
        <f>'Исходные данные тепло'!K115</f>
        <v>0</v>
      </c>
      <c r="O86" s="286">
        <f>'Исходные данные тепло'!L115</f>
        <v>0</v>
      </c>
      <c r="P86" s="286">
        <f>'Исходные данные тепло'!M115</f>
        <v>0</v>
      </c>
      <c r="Q86" s="286">
        <f>'Исходные данные тепло'!N115</f>
        <v>0</v>
      </c>
      <c r="R86" s="286">
        <f>'Исходные данные тепло'!O115</f>
        <v>0</v>
      </c>
      <c r="S86" s="286">
        <f>'Исходные данные тепло'!P115</f>
        <v>0</v>
      </c>
      <c r="T86" s="55">
        <f>'Исходные данные тепло'!Q115</f>
        <v>0</v>
      </c>
      <c r="U86" s="55">
        <f>'Исходные данные тепло'!R115</f>
        <v>0</v>
      </c>
      <c r="V86" s="55">
        <f>'Исходные данные тепло'!S115</f>
        <v>0</v>
      </c>
    </row>
    <row r="87" spans="1:26" x14ac:dyDescent="0.25">
      <c r="B87" s="24" t="str">
        <f>'Исходные данные тепло'!A125</f>
        <v>Региональный и местный бюджет</v>
      </c>
      <c r="C87" s="13"/>
      <c r="D87" s="296"/>
      <c r="E87" s="286">
        <f>'Исходные данные тепло'!B116</f>
        <v>10000</v>
      </c>
      <c r="F87" s="286">
        <f>'Исходные данные тепло'!C116</f>
        <v>0</v>
      </c>
      <c r="G87" s="286">
        <f>'Исходные данные тепло'!D116</f>
        <v>0</v>
      </c>
      <c r="H87" s="286">
        <f>'Исходные данные тепло'!E116</f>
        <v>0</v>
      </c>
      <c r="I87" s="286">
        <f>'Исходные данные тепло'!F116</f>
        <v>0</v>
      </c>
      <c r="J87" s="286">
        <f>'Исходные данные тепло'!G116</f>
        <v>0</v>
      </c>
      <c r="K87" s="286">
        <f>'Исходные данные тепло'!H116</f>
        <v>0</v>
      </c>
      <c r="L87" s="286">
        <f>'Исходные данные тепло'!I116</f>
        <v>0</v>
      </c>
      <c r="M87" s="286">
        <f>'Исходные данные тепло'!J116</f>
        <v>0</v>
      </c>
      <c r="N87" s="286">
        <f>'Исходные данные тепло'!K116</f>
        <v>0</v>
      </c>
      <c r="O87" s="286">
        <f>'Исходные данные тепло'!L116</f>
        <v>0</v>
      </c>
      <c r="P87" s="286">
        <f>'Исходные данные тепло'!M116</f>
        <v>0</v>
      </c>
      <c r="Q87" s="286">
        <f>'Исходные данные тепло'!N116</f>
        <v>0</v>
      </c>
      <c r="R87" s="286">
        <f>'Исходные данные тепло'!O116</f>
        <v>0</v>
      </c>
      <c r="S87" s="286">
        <f>'Исходные данные тепло'!P116</f>
        <v>0</v>
      </c>
      <c r="T87" s="55"/>
      <c r="U87" s="55"/>
      <c r="V87" s="55"/>
    </row>
    <row r="88" spans="1:26" x14ac:dyDescent="0.25">
      <c r="B88" s="24" t="str">
        <f>'Исходные данные тепло'!A118</f>
        <v>Собственные средства</v>
      </c>
      <c r="C88" s="13" t="s">
        <v>11</v>
      </c>
      <c r="D88" s="296">
        <v>0</v>
      </c>
      <c r="E88" s="286">
        <f>'Исходные данные тепло'!B118</f>
        <v>10000</v>
      </c>
      <c r="F88" s="286">
        <f>'Исходные данные тепло'!C118</f>
        <v>0</v>
      </c>
      <c r="G88" s="286">
        <f>'Исходные данные тепло'!D118</f>
        <v>0</v>
      </c>
      <c r="H88" s="286">
        <f>'Исходные данные тепло'!E118</f>
        <v>0</v>
      </c>
      <c r="I88" s="286">
        <f>'Исходные данные тепло'!F118</f>
        <v>0</v>
      </c>
      <c r="J88" s="286">
        <f>'Исходные данные тепло'!G118</f>
        <v>0</v>
      </c>
      <c r="K88" s="286">
        <f>'Исходные данные тепло'!H118</f>
        <v>0</v>
      </c>
      <c r="L88" s="286">
        <f>'Исходные данные тепло'!I118</f>
        <v>0</v>
      </c>
      <c r="M88" s="286">
        <f>'Исходные данные тепло'!J118</f>
        <v>0</v>
      </c>
      <c r="N88" s="286">
        <f>'Исходные данные тепло'!K118</f>
        <v>0</v>
      </c>
      <c r="O88" s="286">
        <f>'Исходные данные тепло'!L118</f>
        <v>0</v>
      </c>
      <c r="P88" s="286">
        <f>'Исходные данные тепло'!M118</f>
        <v>0</v>
      </c>
      <c r="Q88" s="286">
        <f>'Исходные данные тепло'!N118</f>
        <v>0</v>
      </c>
      <c r="R88" s="286">
        <f>'Исходные данные тепло'!O118</f>
        <v>0</v>
      </c>
      <c r="S88" s="286">
        <f>'Исходные данные тепло'!P118</f>
        <v>0</v>
      </c>
      <c r="T88" s="55">
        <f>'Исходные данные тепло'!Q117</f>
        <v>0</v>
      </c>
      <c r="U88" s="55">
        <f>'Исходные данные тепло'!R117</f>
        <v>0</v>
      </c>
      <c r="V88" s="55">
        <f>'Исходные данные тепло'!S117</f>
        <v>0</v>
      </c>
    </row>
    <row r="89" spans="1:26" x14ac:dyDescent="0.25">
      <c r="B89" s="24" t="str">
        <f>'Исходные данные тепло'!A128</f>
        <v>Привлеченные средства (кредит)</v>
      </c>
      <c r="C89" s="13" t="s">
        <v>11</v>
      </c>
      <c r="D89" s="296"/>
      <c r="E89" s="286">
        <f>'Исходные данные тепло'!B119</f>
        <v>0</v>
      </c>
      <c r="F89" s="286">
        <f>'Исходные данные тепло'!C119</f>
        <v>0</v>
      </c>
      <c r="G89" s="286">
        <f>'Исходные данные тепло'!D119</f>
        <v>0</v>
      </c>
      <c r="H89" s="286">
        <f>'Исходные данные тепло'!E119</f>
        <v>0</v>
      </c>
      <c r="I89" s="286">
        <f>'Исходные данные тепло'!F119</f>
        <v>0</v>
      </c>
      <c r="J89" s="286">
        <f>'Исходные данные тепло'!G119</f>
        <v>0</v>
      </c>
      <c r="K89" s="286">
        <f>'Исходные данные тепло'!H119</f>
        <v>0</v>
      </c>
      <c r="L89" s="286">
        <f>'Исходные данные тепло'!I119</f>
        <v>0</v>
      </c>
      <c r="M89" s="286">
        <f>'Исходные данные тепло'!J119</f>
        <v>0</v>
      </c>
      <c r="N89" s="286">
        <f>'Исходные данные тепло'!K119</f>
        <v>0</v>
      </c>
      <c r="O89" s="286">
        <f>'Исходные данные тепло'!L119</f>
        <v>0</v>
      </c>
      <c r="P89" s="286">
        <f>'Исходные данные тепло'!M119</f>
        <v>0</v>
      </c>
      <c r="Q89" s="286">
        <f>'Исходные данные тепло'!N119</f>
        <v>0</v>
      </c>
      <c r="R89" s="286">
        <f>'Исходные данные тепло'!O119</f>
        <v>0</v>
      </c>
      <c r="S89" s="286">
        <f>'Исходные данные тепло'!P119</f>
        <v>0</v>
      </c>
      <c r="T89" s="55">
        <f>'Исходные данные тепло'!Q118</f>
        <v>0</v>
      </c>
      <c r="U89" s="55">
        <f>'Исходные данные тепло'!R118</f>
        <v>0</v>
      </c>
      <c r="V89" s="55">
        <f>'Исходные данные тепло'!S118</f>
        <v>0</v>
      </c>
    </row>
    <row r="91" spans="1:26" ht="15.75" thickBot="1" x14ac:dyDescent="0.3"/>
    <row r="92" spans="1:26" x14ac:dyDescent="0.25">
      <c r="B92" s="100"/>
      <c r="C92" s="101"/>
      <c r="D92" s="298"/>
      <c r="E92" s="298">
        <f>E4</f>
        <v>2016</v>
      </c>
      <c r="F92" s="298">
        <f t="shared" ref="F92:V92" si="130">F4</f>
        <v>2017</v>
      </c>
      <c r="G92" s="298">
        <f t="shared" si="130"/>
        <v>2018</v>
      </c>
      <c r="H92" s="298">
        <f t="shared" si="130"/>
        <v>2019</v>
      </c>
      <c r="I92" s="298">
        <f t="shared" si="130"/>
        <v>2020</v>
      </c>
      <c r="J92" s="298">
        <f t="shared" si="130"/>
        <v>2021</v>
      </c>
      <c r="K92" s="298">
        <f t="shared" si="130"/>
        <v>2022</v>
      </c>
      <c r="L92" s="298">
        <f t="shared" si="130"/>
        <v>2023</v>
      </c>
      <c r="M92" s="298">
        <f t="shared" si="130"/>
        <v>2024</v>
      </c>
      <c r="N92" s="299">
        <f t="shared" si="130"/>
        <v>2025</v>
      </c>
      <c r="O92" s="300">
        <f t="shared" si="130"/>
        <v>2026</v>
      </c>
      <c r="P92" s="299">
        <f t="shared" si="130"/>
        <v>2027</v>
      </c>
      <c r="Q92" s="300">
        <f t="shared" si="130"/>
        <v>2028</v>
      </c>
      <c r="R92" s="299">
        <f t="shared" si="130"/>
        <v>2029</v>
      </c>
      <c r="S92" s="300">
        <f t="shared" si="130"/>
        <v>2030</v>
      </c>
      <c r="T92" s="102">
        <f t="shared" si="130"/>
        <v>2031</v>
      </c>
      <c r="U92" s="99">
        <f t="shared" si="130"/>
        <v>2032</v>
      </c>
      <c r="V92" s="102">
        <f t="shared" si="130"/>
        <v>2033</v>
      </c>
    </row>
    <row r="93" spans="1:26" s="32" customFormat="1" ht="30" x14ac:dyDescent="0.25">
      <c r="B93" s="80" t="s">
        <v>98</v>
      </c>
      <c r="C93" s="13" t="s">
        <v>11</v>
      </c>
      <c r="D93" s="301"/>
      <c r="E93" s="302">
        <f>E76+E75</f>
        <v>7532.5</v>
      </c>
      <c r="F93" s="302">
        <f t="shared" ref="F93:S93" si="131">F76+F75</f>
        <v>7829.1139240506327</v>
      </c>
      <c r="G93" s="302">
        <f t="shared" si="131"/>
        <v>8208.774940999785</v>
      </c>
      <c r="H93" s="302">
        <f t="shared" si="131"/>
        <v>8258.774940999785</v>
      </c>
      <c r="I93" s="302">
        <f t="shared" si="131"/>
        <v>8158.774940999785</v>
      </c>
      <c r="J93" s="302">
        <f t="shared" si="131"/>
        <v>8108.774940999785</v>
      </c>
      <c r="K93" s="302">
        <f t="shared" si="131"/>
        <v>8108.774940999785</v>
      </c>
      <c r="L93" s="302">
        <f t="shared" si="131"/>
        <v>8108.774940999785</v>
      </c>
      <c r="M93" s="302">
        <f t="shared" si="131"/>
        <v>8108.774940999785</v>
      </c>
      <c r="N93" s="302">
        <f t="shared" si="131"/>
        <v>8108.774940999785</v>
      </c>
      <c r="O93" s="302">
        <f t="shared" si="131"/>
        <v>1779.6610169491526</v>
      </c>
      <c r="P93" s="302">
        <f t="shared" si="131"/>
        <v>1779.6610169491526</v>
      </c>
      <c r="Q93" s="302">
        <f t="shared" si="131"/>
        <v>1779.6610169491526</v>
      </c>
      <c r="R93" s="302">
        <f t="shared" si="131"/>
        <v>1779.6610169491526</v>
      </c>
      <c r="S93" s="302">
        <f t="shared" si="131"/>
        <v>1779.6610169491526</v>
      </c>
      <c r="T93" s="129" t="e">
        <f t="shared" ref="T93:V93" ca="1" si="132">T78+T76+T75</f>
        <v>#DIV/0!</v>
      </c>
      <c r="U93" s="129" t="e">
        <f t="shared" ca="1" si="132"/>
        <v>#DIV/0!</v>
      </c>
      <c r="V93" s="129" t="e">
        <f t="shared" ca="1" si="132"/>
        <v>#DIV/0!</v>
      </c>
    </row>
    <row r="94" spans="1:26" s="32" customFormat="1" ht="30" x14ac:dyDescent="0.25">
      <c r="B94" s="80" t="s">
        <v>227</v>
      </c>
      <c r="C94" s="13" t="s">
        <v>11</v>
      </c>
      <c r="D94" s="301"/>
      <c r="E94" s="303"/>
      <c r="F94" s="302">
        <f>E88*'Исходные данные общие'!B13/1.18</f>
        <v>1525.4237288135594</v>
      </c>
      <c r="G94" s="302">
        <f>F88*'Исходные данные общие'!C13/1.18</f>
        <v>0</v>
      </c>
      <c r="H94" s="302">
        <f>G88*'Исходные данные общие'!D13/1.18</f>
        <v>0</v>
      </c>
      <c r="I94" s="302">
        <f>H88*'Исходные данные общие'!E13/1.18</f>
        <v>0</v>
      </c>
      <c r="J94" s="302">
        <f>I88*'Исходные данные общие'!F13/1.18</f>
        <v>0</v>
      </c>
      <c r="K94" s="302">
        <f>J88*'Исходные данные общие'!G13/1.18</f>
        <v>0</v>
      </c>
      <c r="L94" s="302">
        <f>K88*'Исходные данные общие'!H13/1.18</f>
        <v>0</v>
      </c>
      <c r="M94" s="302">
        <f>L88*'Исходные данные общие'!I13/1.18</f>
        <v>0</v>
      </c>
      <c r="N94" s="304">
        <f>M88*'Исходные данные общие'!J13/1.18</f>
        <v>0</v>
      </c>
      <c r="O94" s="305"/>
      <c r="P94" s="304"/>
      <c r="Q94" s="304"/>
      <c r="R94" s="304"/>
      <c r="S94" s="304"/>
      <c r="T94" s="129"/>
      <c r="U94" s="129"/>
      <c r="V94" s="129"/>
    </row>
    <row r="95" spans="1:26" s="66" customFormat="1" ht="18" customHeight="1" x14ac:dyDescent="0.25">
      <c r="B95" s="80" t="s">
        <v>89</v>
      </c>
      <c r="C95" s="13" t="s">
        <v>11</v>
      </c>
      <c r="D95" s="306"/>
      <c r="E95" s="307">
        <f>-'Кредит тепло'!B6</f>
        <v>0</v>
      </c>
      <c r="F95" s="307">
        <f>-'Кредит тепло'!C6</f>
        <v>0</v>
      </c>
      <c r="G95" s="307">
        <f>-'Кредит тепло'!D6</f>
        <v>0</v>
      </c>
      <c r="H95" s="307">
        <f>-'Кредит тепло'!E6</f>
        <v>0</v>
      </c>
      <c r="I95" s="307">
        <f>-'Кредит тепло'!F6</f>
        <v>0</v>
      </c>
      <c r="J95" s="307">
        <f>-'Кредит тепло'!G6</f>
        <v>0</v>
      </c>
      <c r="K95" s="307">
        <f>-'Кредит тепло'!H6</f>
        <v>0</v>
      </c>
      <c r="L95" s="307">
        <f>-'Кредит тепло'!I6</f>
        <v>0</v>
      </c>
      <c r="M95" s="307">
        <f>-'Кредит тепло'!J6</f>
        <v>0</v>
      </c>
      <c r="N95" s="308">
        <f>-'Кредит тепло'!K6</f>
        <v>0</v>
      </c>
      <c r="O95" s="309">
        <f>-'Кредит тепло'!L6</f>
        <v>0</v>
      </c>
      <c r="P95" s="308">
        <f>-'Кредит тепло'!M6</f>
        <v>0</v>
      </c>
      <c r="Q95" s="308">
        <f>-'Кредит тепло'!N6</f>
        <v>0</v>
      </c>
      <c r="R95" s="308">
        <f>-'Кредит тепло'!O6</f>
        <v>0</v>
      </c>
      <c r="S95" s="308">
        <f>-'Кредит тепло'!P6</f>
        <v>0</v>
      </c>
      <c r="T95" s="81">
        <f>-'Кредит тепло'!Q6</f>
        <v>0</v>
      </c>
      <c r="U95" s="81">
        <f>-'Кредит тепло'!R6</f>
        <v>0</v>
      </c>
      <c r="V95" s="81">
        <f>-'Кредит тепло'!S6</f>
        <v>0</v>
      </c>
    </row>
    <row r="96" spans="1:26" s="66" customFormat="1" x14ac:dyDescent="0.25">
      <c r="B96" s="80" t="s">
        <v>99</v>
      </c>
      <c r="C96" s="13" t="s">
        <v>11</v>
      </c>
      <c r="D96" s="306"/>
      <c r="E96" s="310">
        <f>E93+E95+E94</f>
        <v>7532.5</v>
      </c>
      <c r="F96" s="310">
        <f t="shared" ref="F96:N96" si="133">F93+F95+F94</f>
        <v>9354.5376528641918</v>
      </c>
      <c r="G96" s="310">
        <f t="shared" si="133"/>
        <v>8208.774940999785</v>
      </c>
      <c r="H96" s="310">
        <f t="shared" si="133"/>
        <v>8258.774940999785</v>
      </c>
      <c r="I96" s="310">
        <f t="shared" si="133"/>
        <v>8158.774940999785</v>
      </c>
      <c r="J96" s="310">
        <f t="shared" si="133"/>
        <v>8108.774940999785</v>
      </c>
      <c r="K96" s="310">
        <f t="shared" si="133"/>
        <v>8108.774940999785</v>
      </c>
      <c r="L96" s="310">
        <f t="shared" si="133"/>
        <v>8108.774940999785</v>
      </c>
      <c r="M96" s="310">
        <f t="shared" si="133"/>
        <v>8108.774940999785</v>
      </c>
      <c r="N96" s="311">
        <f t="shared" si="133"/>
        <v>8108.774940999785</v>
      </c>
      <c r="O96" s="312">
        <f t="shared" ref="O96:V96" si="134">O93+O95</f>
        <v>1779.6610169491526</v>
      </c>
      <c r="P96" s="311">
        <f t="shared" si="134"/>
        <v>1779.6610169491526</v>
      </c>
      <c r="Q96" s="311">
        <f t="shared" si="134"/>
        <v>1779.6610169491526</v>
      </c>
      <c r="R96" s="311">
        <f t="shared" si="134"/>
        <v>1779.6610169491526</v>
      </c>
      <c r="S96" s="311">
        <f t="shared" si="134"/>
        <v>1779.6610169491526</v>
      </c>
      <c r="T96" s="130" t="e">
        <f t="shared" ca="1" si="134"/>
        <v>#DIV/0!</v>
      </c>
      <c r="U96" s="130" t="e">
        <f t="shared" ca="1" si="134"/>
        <v>#DIV/0!</v>
      </c>
      <c r="V96" s="130" t="e">
        <f t="shared" ca="1" si="134"/>
        <v>#DIV/0!</v>
      </c>
    </row>
    <row r="97" spans="2:24" s="66" customFormat="1" x14ac:dyDescent="0.25">
      <c r="B97" s="80" t="s">
        <v>134</v>
      </c>
      <c r="C97" s="13" t="s">
        <v>11</v>
      </c>
      <c r="D97" s="306"/>
      <c r="E97" s="310">
        <f>-'Кредит тепло'!B19</f>
        <v>0</v>
      </c>
      <c r="F97" s="310">
        <f>-'Кредит тепло'!C19</f>
        <v>0</v>
      </c>
      <c r="G97" s="310">
        <f>-'Кредит тепло'!D19</f>
        <v>0</v>
      </c>
      <c r="H97" s="310">
        <f>-'Кредит тепло'!E19</f>
        <v>0</v>
      </c>
      <c r="I97" s="310">
        <f>-'Кредит тепло'!F19</f>
        <v>0</v>
      </c>
      <c r="J97" s="310">
        <f>-'Кредит тепло'!G19</f>
        <v>0</v>
      </c>
      <c r="K97" s="310">
        <f>-'Кредит тепло'!H19</f>
        <v>0</v>
      </c>
      <c r="L97" s="310">
        <f>-'Кредит тепло'!I19</f>
        <v>0</v>
      </c>
      <c r="M97" s="310">
        <f>-'Кредит тепло'!J19</f>
        <v>0</v>
      </c>
      <c r="N97" s="311">
        <f>-'Кредит тепло'!K19</f>
        <v>0</v>
      </c>
      <c r="O97" s="312">
        <f>-'Кредит тепло'!L19</f>
        <v>0</v>
      </c>
      <c r="P97" s="311">
        <f>-'Кредит тепло'!M19</f>
        <v>0</v>
      </c>
      <c r="Q97" s="311">
        <f>-'Кредит тепло'!N19</f>
        <v>0</v>
      </c>
      <c r="R97" s="311">
        <f>-'Кредит тепло'!O19</f>
        <v>0</v>
      </c>
      <c r="S97" s="311">
        <f>-'Кредит тепло'!P19</f>
        <v>0</v>
      </c>
      <c r="T97" s="130">
        <f>-'Кредит тепло'!Q19</f>
        <v>0</v>
      </c>
      <c r="U97" s="130">
        <f>-'Кредит тепло'!R19</f>
        <v>0</v>
      </c>
      <c r="V97" s="130">
        <f>-'Кредит тепло'!S19</f>
        <v>0</v>
      </c>
    </row>
    <row r="98" spans="2:24" s="66" customFormat="1" ht="30" customHeight="1" thickBot="1" x14ac:dyDescent="0.3">
      <c r="B98" s="131" t="s">
        <v>112</v>
      </c>
      <c r="C98" s="152" t="s">
        <v>11</v>
      </c>
      <c r="D98" s="313"/>
      <c r="E98" s="314">
        <f>E96+E97</f>
        <v>7532.5</v>
      </c>
      <c r="F98" s="314">
        <f>E98+F96+F97</f>
        <v>16887.037652864194</v>
      </c>
      <c r="G98" s="314">
        <f t="shared" ref="G98:N98" si="135">F98+G96+G97</f>
        <v>25095.812593863979</v>
      </c>
      <c r="H98" s="314">
        <f t="shared" si="135"/>
        <v>33354.587534863764</v>
      </c>
      <c r="I98" s="314">
        <f t="shared" si="135"/>
        <v>41513.362475863549</v>
      </c>
      <c r="J98" s="314">
        <f t="shared" si="135"/>
        <v>49622.137416863334</v>
      </c>
      <c r="K98" s="314">
        <f t="shared" si="135"/>
        <v>57730.912357863119</v>
      </c>
      <c r="L98" s="314">
        <f t="shared" si="135"/>
        <v>65839.687298862904</v>
      </c>
      <c r="M98" s="314">
        <f t="shared" si="135"/>
        <v>73948.462239862682</v>
      </c>
      <c r="N98" s="315">
        <f t="shared" si="135"/>
        <v>82057.237180862459</v>
      </c>
      <c r="O98" s="316">
        <f t="shared" ref="O98" si="136">O96+O97</f>
        <v>1779.6610169491526</v>
      </c>
      <c r="P98" s="317">
        <f t="shared" ref="P98" si="137">P96+P97</f>
        <v>1779.6610169491526</v>
      </c>
      <c r="Q98" s="317">
        <f t="shared" ref="Q98" si="138">Q96+Q97</f>
        <v>1779.6610169491526</v>
      </c>
      <c r="R98" s="317">
        <f t="shared" ref="R98" si="139">R96+R97</f>
        <v>1779.6610169491526</v>
      </c>
      <c r="S98" s="317">
        <f t="shared" ref="S98" si="140">S96+S97</f>
        <v>1779.6610169491526</v>
      </c>
      <c r="T98" s="119" t="e">
        <f t="shared" ref="T98" ca="1" si="141">T96+T97</f>
        <v>#DIV/0!</v>
      </c>
      <c r="U98" s="119" t="e">
        <f t="shared" ref="U98" ca="1" si="142">U96+U97</f>
        <v>#DIV/0!</v>
      </c>
      <c r="V98" s="119" t="e">
        <f t="shared" ref="V98" ca="1" si="143">V96+V97</f>
        <v>#DIV/0!</v>
      </c>
    </row>
    <row r="99" spans="2:24" s="66" customFormat="1" ht="15.75" thickBot="1" x14ac:dyDescent="0.3">
      <c r="B99" s="116"/>
      <c r="C99" s="117"/>
      <c r="D99" s="318"/>
      <c r="E99" s="318"/>
      <c r="F99" s="318"/>
      <c r="G99" s="318"/>
      <c r="H99" s="318"/>
      <c r="I99" s="318"/>
      <c r="J99" s="318"/>
      <c r="K99" s="318"/>
      <c r="L99" s="318"/>
      <c r="M99" s="318"/>
      <c r="N99" s="319"/>
      <c r="O99" s="320"/>
      <c r="P99" s="319"/>
      <c r="Q99" s="319"/>
      <c r="R99" s="319"/>
      <c r="S99" s="319"/>
      <c r="T99" s="118"/>
      <c r="U99" s="118"/>
      <c r="V99" s="118"/>
    </row>
    <row r="100" spans="2:24" s="66" customFormat="1" x14ac:dyDescent="0.25">
      <c r="B100" s="125" t="s">
        <v>129</v>
      </c>
      <c r="C100" s="153" t="s">
        <v>11</v>
      </c>
      <c r="D100" s="321"/>
      <c r="E100" s="322">
        <f>E93+E94</f>
        <v>7532.5</v>
      </c>
      <c r="F100" s="322">
        <f t="shared" ref="F100:N100" si="144">F93+F94</f>
        <v>9354.5376528641918</v>
      </c>
      <c r="G100" s="322">
        <f t="shared" si="144"/>
        <v>8208.774940999785</v>
      </c>
      <c r="H100" s="322">
        <f t="shared" si="144"/>
        <v>8258.774940999785</v>
      </c>
      <c r="I100" s="322">
        <f t="shared" si="144"/>
        <v>8158.774940999785</v>
      </c>
      <c r="J100" s="322">
        <f t="shared" si="144"/>
        <v>8108.774940999785</v>
      </c>
      <c r="K100" s="322">
        <f t="shared" si="144"/>
        <v>8108.774940999785</v>
      </c>
      <c r="L100" s="322">
        <f t="shared" si="144"/>
        <v>8108.774940999785</v>
      </c>
      <c r="M100" s="322">
        <f t="shared" si="144"/>
        <v>8108.774940999785</v>
      </c>
      <c r="N100" s="323">
        <f t="shared" si="144"/>
        <v>8108.774940999785</v>
      </c>
      <c r="O100" s="324">
        <f t="shared" ref="O100:V100" si="145">O93</f>
        <v>1779.6610169491526</v>
      </c>
      <c r="P100" s="323">
        <f t="shared" si="145"/>
        <v>1779.6610169491526</v>
      </c>
      <c r="Q100" s="323">
        <f t="shared" si="145"/>
        <v>1779.6610169491526</v>
      </c>
      <c r="R100" s="323">
        <f t="shared" si="145"/>
        <v>1779.6610169491526</v>
      </c>
      <c r="S100" s="323">
        <f t="shared" si="145"/>
        <v>1779.6610169491526</v>
      </c>
      <c r="T100" s="126" t="e">
        <f t="shared" ca="1" si="145"/>
        <v>#DIV/0!</v>
      </c>
      <c r="U100" s="126" t="e">
        <f t="shared" ca="1" si="145"/>
        <v>#DIV/0!</v>
      </c>
      <c r="V100" s="126" t="e">
        <f t="shared" ca="1" si="145"/>
        <v>#DIV/0!</v>
      </c>
    </row>
    <row r="101" spans="2:24" s="66" customFormat="1" x14ac:dyDescent="0.25">
      <c r="B101" s="127" t="s">
        <v>130</v>
      </c>
      <c r="C101" s="13" t="s">
        <v>11</v>
      </c>
      <c r="D101" s="325"/>
      <c r="E101" s="326">
        <f>-E88-E89</f>
        <v>-10000</v>
      </c>
      <c r="F101" s="326">
        <f>-F88-F89+F97</f>
        <v>0</v>
      </c>
      <c r="G101" s="326">
        <f t="shared" ref="G101:N101" si="146">-G88-G89+G97</f>
        <v>0</v>
      </c>
      <c r="H101" s="326">
        <f t="shared" si="146"/>
        <v>0</v>
      </c>
      <c r="I101" s="326">
        <f t="shared" si="146"/>
        <v>0</v>
      </c>
      <c r="J101" s="326">
        <f t="shared" si="146"/>
        <v>0</v>
      </c>
      <c r="K101" s="326">
        <f t="shared" si="146"/>
        <v>0</v>
      </c>
      <c r="L101" s="326">
        <f>-L88-L89+L97</f>
        <v>0</v>
      </c>
      <c r="M101" s="326">
        <f t="shared" si="146"/>
        <v>0</v>
      </c>
      <c r="N101" s="327">
        <f t="shared" si="146"/>
        <v>0</v>
      </c>
      <c r="O101" s="328">
        <f t="shared" ref="O101:V101" si="147">-O85</f>
        <v>0</v>
      </c>
      <c r="P101" s="326">
        <f t="shared" si="147"/>
        <v>0</v>
      </c>
      <c r="Q101" s="326">
        <f t="shared" si="147"/>
        <v>0</v>
      </c>
      <c r="R101" s="326">
        <f t="shared" si="147"/>
        <v>0</v>
      </c>
      <c r="S101" s="326">
        <f t="shared" si="147"/>
        <v>0</v>
      </c>
      <c r="T101" s="122">
        <f t="shared" si="147"/>
        <v>0</v>
      </c>
      <c r="U101" s="122">
        <f t="shared" si="147"/>
        <v>0</v>
      </c>
      <c r="V101" s="122">
        <f t="shared" si="147"/>
        <v>0</v>
      </c>
    </row>
    <row r="102" spans="2:24" s="66" customFormat="1" x14ac:dyDescent="0.25">
      <c r="B102" s="127" t="s">
        <v>131</v>
      </c>
      <c r="C102" s="13" t="s">
        <v>11</v>
      </c>
      <c r="D102" s="325"/>
      <c r="E102" s="329">
        <f>E95</f>
        <v>0</v>
      </c>
      <c r="F102" s="329">
        <f t="shared" ref="F102:N102" si="148">F95</f>
        <v>0</v>
      </c>
      <c r="G102" s="329">
        <f t="shared" si="148"/>
        <v>0</v>
      </c>
      <c r="H102" s="329">
        <f t="shared" si="148"/>
        <v>0</v>
      </c>
      <c r="I102" s="329">
        <f t="shared" si="148"/>
        <v>0</v>
      </c>
      <c r="J102" s="329">
        <f t="shared" si="148"/>
        <v>0</v>
      </c>
      <c r="K102" s="329">
        <f t="shared" si="148"/>
        <v>0</v>
      </c>
      <c r="L102" s="329">
        <f t="shared" si="148"/>
        <v>0</v>
      </c>
      <c r="M102" s="329">
        <f t="shared" si="148"/>
        <v>0</v>
      </c>
      <c r="N102" s="330">
        <f t="shared" si="148"/>
        <v>0</v>
      </c>
      <c r="O102" s="331">
        <f t="shared" ref="O102:V102" si="149">O95</f>
        <v>0</v>
      </c>
      <c r="P102" s="329">
        <f t="shared" si="149"/>
        <v>0</v>
      </c>
      <c r="Q102" s="329">
        <f t="shared" si="149"/>
        <v>0</v>
      </c>
      <c r="R102" s="329">
        <f t="shared" si="149"/>
        <v>0</v>
      </c>
      <c r="S102" s="329">
        <f t="shared" si="149"/>
        <v>0</v>
      </c>
      <c r="T102" s="123">
        <f t="shared" si="149"/>
        <v>0</v>
      </c>
      <c r="U102" s="123">
        <f t="shared" si="149"/>
        <v>0</v>
      </c>
      <c r="V102" s="123">
        <f t="shared" si="149"/>
        <v>0</v>
      </c>
    </row>
    <row r="103" spans="2:24" s="32" customFormat="1" ht="29.25" thickBot="1" x14ac:dyDescent="0.25">
      <c r="B103" s="82" t="s">
        <v>79</v>
      </c>
      <c r="C103" s="152" t="s">
        <v>11</v>
      </c>
      <c r="D103" s="332">
        <f>SUM(E103:N103)</f>
        <v>55345.052486065826</v>
      </c>
      <c r="E103" s="333">
        <f>(E100+E101+E102)*'Исходные данные тепло'!C180</f>
        <v>-2467.5</v>
      </c>
      <c r="F103" s="333">
        <f>(F100+F101+F102)*'Исходные данные тепло'!D180</f>
        <v>8866.8603344684288</v>
      </c>
      <c r="G103" s="333">
        <f>(G100+G101+G102)*'Исходные данные тепло'!E180</f>
        <v>7375.1936757932526</v>
      </c>
      <c r="H103" s="333">
        <f>(H100+H101+H102)*'Исходные данные тепло'!F180</f>
        <v>7033.2855891743602</v>
      </c>
      <c r="I103" s="333">
        <f>(I100+I101+I102)*'Исходные данные тепло'!G180</f>
        <v>6585.8997372094573</v>
      </c>
      <c r="J103" s="333">
        <f>(J100+J101+J102)*'Исходные данные тепло'!H180</f>
        <v>6204.3022749235524</v>
      </c>
      <c r="K103" s="333">
        <f>(K100+K101+K102)*'Исходные данные тепло'!I180</f>
        <v>5880.8552368943629</v>
      </c>
      <c r="L103" s="333">
        <f>(L100+L101+L102)*'Исходные данные тепло'!J180</f>
        <v>5574.2703667245141</v>
      </c>
      <c r="M103" s="333">
        <f>(M100+M101+M102)*'Исходные данные тепло'!K180</f>
        <v>5283.6685940516727</v>
      </c>
      <c r="N103" s="334">
        <f>(N100+N101+N102)*'Исходные данные тепло'!L180</f>
        <v>5008.2166768262296</v>
      </c>
      <c r="O103" s="335">
        <f>(O100+O101+O102)*'Исходные данные тепло'!M180</f>
        <v>1041.8679803372668</v>
      </c>
      <c r="P103" s="334">
        <f>(P100+P101+P102)*'Исходные данные тепло'!N180</f>
        <v>987.5525879974092</v>
      </c>
      <c r="Q103" s="334">
        <f>(Q100+Q101+Q102)*'Исходные данные тепло'!O180</f>
        <v>936.06880378901337</v>
      </c>
      <c r="R103" s="334">
        <f>(R100+R101+R102)*'Исходные данные тепло'!P180</f>
        <v>887.26900833081834</v>
      </c>
      <c r="S103" s="334">
        <f>(S100+S101+S102)*'Исходные данные тепло'!Q180</f>
        <v>841.01327803869049</v>
      </c>
      <c r="T103" s="83" t="e">
        <f ca="1">(T100+T101+T102)*'Исходные данные тепло'!R180</f>
        <v>#DIV/0!</v>
      </c>
      <c r="U103" s="83" t="e">
        <f ca="1">(U100+U101+U102)*'Исходные данные тепло'!S180</f>
        <v>#DIV/0!</v>
      </c>
      <c r="V103" s="83" t="e">
        <f ca="1">(V100+V101+V102)*'Исходные данные тепло'!T180</f>
        <v>#DIV/0!</v>
      </c>
    </row>
    <row r="104" spans="2:24" x14ac:dyDescent="0.25">
      <c r="E104" s="254"/>
      <c r="F104" s="254"/>
      <c r="G104" s="254"/>
      <c r="H104" s="254"/>
      <c r="I104" s="254"/>
      <c r="J104" s="254"/>
      <c r="K104" s="254"/>
      <c r="L104" s="254"/>
      <c r="M104" s="254"/>
      <c r="N104" s="254"/>
    </row>
    <row r="105" spans="2:24" x14ac:dyDescent="0.25">
      <c r="B105" s="93" t="s">
        <v>124</v>
      </c>
      <c r="C105" s="93"/>
      <c r="D105" s="336">
        <f>D103</f>
        <v>55345.052486065826</v>
      </c>
    </row>
    <row r="106" spans="2:24" x14ac:dyDescent="0.25">
      <c r="B106" s="93" t="s">
        <v>125</v>
      </c>
      <c r="C106" s="93"/>
      <c r="D106" s="337">
        <f>IRR(E103:N103)</f>
        <v>3.4479918400102134</v>
      </c>
      <c r="E106" s="338" t="str">
        <f>IF(D106&gt;D108,"positive","negative")</f>
        <v>positive</v>
      </c>
    </row>
    <row r="108" spans="2:24" x14ac:dyDescent="0.25">
      <c r="B108" s="86" t="s">
        <v>237</v>
      </c>
      <c r="C108" s="86"/>
      <c r="D108" s="339">
        <f>'Исходные данные тепло'!B174</f>
        <v>7.1199999999999999E-2</v>
      </c>
    </row>
    <row r="109" spans="2:24" hidden="1" x14ac:dyDescent="0.25">
      <c r="D109" s="258">
        <f>D63-D68-D72-D73</f>
        <v>1177</v>
      </c>
      <c r="E109" s="258">
        <f>E63-E68</f>
        <v>1530</v>
      </c>
      <c r="F109" s="258">
        <f t="shared" ref="F109:X109" si="150">F63-F68</f>
        <v>1816.7786513537842</v>
      </c>
      <c r="G109" s="258">
        <f t="shared" si="150"/>
        <v>2632.5464498363922</v>
      </c>
      <c r="H109" s="258">
        <f t="shared" si="150"/>
        <v>2496.0394748196873</v>
      </c>
      <c r="I109" s="258">
        <f t="shared" si="150"/>
        <v>2338.5625369761938</v>
      </c>
      <c r="J109" s="258">
        <f t="shared" si="150"/>
        <v>2178.1394207365684</v>
      </c>
      <c r="K109" s="258">
        <f t="shared" si="150"/>
        <v>2018.936676431314</v>
      </c>
      <c r="L109" s="258">
        <f t="shared" si="150"/>
        <v>1861.223279039426</v>
      </c>
      <c r="M109" s="258">
        <f t="shared" si="150"/>
        <v>1703.6499865375683</v>
      </c>
      <c r="N109" s="258">
        <f t="shared" si="150"/>
        <v>1546.34991371866</v>
      </c>
      <c r="O109" s="258">
        <f t="shared" si="150"/>
        <v>1462.6305316917844</v>
      </c>
      <c r="P109" s="258">
        <f t="shared" si="150"/>
        <v>1338.4358578309757</v>
      </c>
      <c r="Q109" s="258">
        <f t="shared" si="150"/>
        <v>1320.7366150549765</v>
      </c>
      <c r="R109" s="258">
        <f t="shared" si="150"/>
        <v>1303.1223354483236</v>
      </c>
      <c r="S109" s="258">
        <f t="shared" si="150"/>
        <v>1285.3143121539092</v>
      </c>
      <c r="T109" s="53" t="e">
        <f t="shared" ca="1" si="150"/>
        <v>#DIV/0!</v>
      </c>
      <c r="U109" s="53" t="e">
        <f t="shared" ca="1" si="150"/>
        <v>#DIV/0!</v>
      </c>
      <c r="V109" s="53" t="e">
        <f t="shared" ca="1" si="150"/>
        <v>#DIV/0!</v>
      </c>
      <c r="W109" s="53">
        <f t="shared" si="150"/>
        <v>0</v>
      </c>
      <c r="X109" s="53">
        <f t="shared" si="150"/>
        <v>0</v>
      </c>
    </row>
    <row r="110" spans="2:24" ht="15.75" thickBot="1" x14ac:dyDescent="0.3"/>
    <row r="111" spans="2:24" ht="15.75" thickBot="1" x14ac:dyDescent="0.3">
      <c r="B111" s="180" t="s">
        <v>256</v>
      </c>
      <c r="C111" s="181">
        <f>COUNT(E4:S4)</f>
        <v>15</v>
      </c>
      <c r="D111" s="340" t="s">
        <v>257</v>
      </c>
    </row>
    <row r="113" spans="2:23" hidden="1" x14ac:dyDescent="0.25">
      <c r="C113" s="40">
        <v>0.18</v>
      </c>
      <c r="D113" s="189" t="s">
        <v>133</v>
      </c>
      <c r="E113" s="298">
        <f>E92</f>
        <v>2016</v>
      </c>
      <c r="F113" s="298">
        <f t="shared" ref="F113:N113" si="151">F92</f>
        <v>2017</v>
      </c>
      <c r="G113" s="298">
        <f t="shared" si="151"/>
        <v>2018</v>
      </c>
      <c r="H113" s="298">
        <f t="shared" si="151"/>
        <v>2019</v>
      </c>
      <c r="I113" s="298">
        <f t="shared" si="151"/>
        <v>2020</v>
      </c>
      <c r="J113" s="298">
        <f t="shared" si="151"/>
        <v>2021</v>
      </c>
      <c r="K113" s="298">
        <f t="shared" si="151"/>
        <v>2022</v>
      </c>
      <c r="L113" s="298">
        <f t="shared" si="151"/>
        <v>2023</v>
      </c>
      <c r="M113" s="298">
        <f t="shared" si="151"/>
        <v>2024</v>
      </c>
      <c r="N113" s="298">
        <f t="shared" si="151"/>
        <v>2025</v>
      </c>
    </row>
    <row r="114" spans="2:23" hidden="1" x14ac:dyDescent="0.25">
      <c r="B114" t="s">
        <v>202</v>
      </c>
      <c r="E114" s="254">
        <f>E19</f>
        <v>26298.266919999998</v>
      </c>
      <c r="F114" s="254">
        <f t="shared" ref="F114:N114" si="152">F19</f>
        <v>28267.315110450669</v>
      </c>
      <c r="G114" s="254">
        <f t="shared" si="152"/>
        <v>29982.289729998261</v>
      </c>
      <c r="H114" s="254">
        <f t="shared" si="152"/>
        <v>30333.828513761382</v>
      </c>
      <c r="I114" s="254">
        <f t="shared" si="152"/>
        <v>30514.425796635092</v>
      </c>
      <c r="J114" s="254">
        <f t="shared" si="152"/>
        <v>30766.472585734271</v>
      </c>
      <c r="K114" s="254">
        <f t="shared" si="152"/>
        <v>31095.867288183777</v>
      </c>
      <c r="L114" s="254">
        <f t="shared" si="152"/>
        <v>31441.422767447457</v>
      </c>
      <c r="M114" s="254">
        <f t="shared" si="152"/>
        <v>31800.996737798381</v>
      </c>
      <c r="N114" s="254">
        <f t="shared" si="152"/>
        <v>32406.955811819029</v>
      </c>
    </row>
    <row r="115" spans="2:23" hidden="1" x14ac:dyDescent="0.25">
      <c r="B115" t="s">
        <v>203</v>
      </c>
      <c r="E115" s="254">
        <f>E114*$C$113</f>
        <v>4733.6880455999999</v>
      </c>
      <c r="F115" s="254">
        <f t="shared" ref="F115:N115" si="153">F114*$C$113</f>
        <v>5088.1167198811199</v>
      </c>
      <c r="G115" s="254">
        <f t="shared" si="153"/>
        <v>5396.8121513996866</v>
      </c>
      <c r="H115" s="254">
        <f t="shared" si="153"/>
        <v>5460.0891324770482</v>
      </c>
      <c r="I115" s="254">
        <f t="shared" si="153"/>
        <v>5492.5966433943167</v>
      </c>
      <c r="J115" s="254">
        <f t="shared" si="153"/>
        <v>5537.9650654321686</v>
      </c>
      <c r="K115" s="254">
        <f t="shared" si="153"/>
        <v>5597.25611187308</v>
      </c>
      <c r="L115" s="254">
        <f t="shared" si="153"/>
        <v>5659.4560981405421</v>
      </c>
      <c r="M115" s="254">
        <f t="shared" si="153"/>
        <v>5724.1794128037081</v>
      </c>
      <c r="N115" s="254">
        <f t="shared" si="153"/>
        <v>5833.2520461274253</v>
      </c>
    </row>
    <row r="116" spans="2:23" hidden="1" x14ac:dyDescent="0.25">
      <c r="B116" t="s">
        <v>210</v>
      </c>
      <c r="E116" s="258">
        <f>E70</f>
        <v>0</v>
      </c>
      <c r="F116" s="258">
        <f t="shared" ref="F116:V116" si="154">F70</f>
        <v>418.67941084745479</v>
      </c>
      <c r="G116" s="258">
        <f t="shared" si="154"/>
        <v>450.02748176087204</v>
      </c>
      <c r="H116" s="258">
        <f t="shared" si="154"/>
        <v>477.33059513768785</v>
      </c>
      <c r="I116" s="258">
        <f t="shared" si="154"/>
        <v>482.92723963611456</v>
      </c>
      <c r="J116" s="258">
        <f t="shared" si="154"/>
        <v>485.80242392959781</v>
      </c>
      <c r="K116" s="258">
        <f t="shared" si="154"/>
        <v>489.81511425200773</v>
      </c>
      <c r="L116" s="258">
        <f t="shared" si="154"/>
        <v>495.05921571228117</v>
      </c>
      <c r="M116" s="258">
        <f t="shared" si="154"/>
        <v>500.56060350005208</v>
      </c>
      <c r="N116" s="258">
        <f t="shared" si="154"/>
        <v>506.285171530355</v>
      </c>
      <c r="O116" s="258">
        <f t="shared" si="154"/>
        <v>515.93229348255068</v>
      </c>
      <c r="P116" s="258">
        <f t="shared" si="154"/>
        <v>415.45869372307726</v>
      </c>
      <c r="Q116" s="258">
        <f t="shared" si="154"/>
        <v>421.68900020279261</v>
      </c>
      <c r="R116" s="258">
        <f t="shared" si="154"/>
        <v>428.24695733676299</v>
      </c>
      <c r="S116" s="258">
        <f t="shared" si="154"/>
        <v>434.65389524239504</v>
      </c>
      <c r="T116" s="53">
        <f t="shared" si="154"/>
        <v>0</v>
      </c>
      <c r="U116" s="53" t="e">
        <f t="shared" ca="1" si="154"/>
        <v>#DIV/0!</v>
      </c>
      <c r="V116" s="53" t="e">
        <f t="shared" ca="1" si="154"/>
        <v>#DIV/0!</v>
      </c>
    </row>
    <row r="117" spans="2:23" hidden="1" x14ac:dyDescent="0.25">
      <c r="B117" t="s">
        <v>211</v>
      </c>
      <c r="E117" s="258">
        <f>E114-E116</f>
        <v>26298.266919999998</v>
      </c>
      <c r="F117" s="258">
        <f t="shared" ref="F117:N117" si="155">F114-F116</f>
        <v>27848.635699603215</v>
      </c>
      <c r="G117" s="258">
        <f t="shared" si="155"/>
        <v>29532.262248237388</v>
      </c>
      <c r="H117" s="258">
        <f t="shared" si="155"/>
        <v>29856.497918623696</v>
      </c>
      <c r="I117" s="258">
        <f t="shared" si="155"/>
        <v>30031.498556998977</v>
      </c>
      <c r="J117" s="258">
        <f t="shared" si="155"/>
        <v>30280.670161804672</v>
      </c>
      <c r="K117" s="258">
        <f t="shared" si="155"/>
        <v>30606.05217393177</v>
      </c>
      <c r="L117" s="258">
        <f t="shared" si="155"/>
        <v>30946.363551735176</v>
      </c>
      <c r="M117" s="258">
        <f t="shared" si="155"/>
        <v>31300.436134298328</v>
      </c>
      <c r="N117" s="258">
        <f t="shared" si="155"/>
        <v>31900.670640288674</v>
      </c>
      <c r="O117" s="341">
        <f t="shared" ref="O117:V117" si="156">O114*O116</f>
        <v>0</v>
      </c>
      <c r="P117" s="341">
        <f t="shared" si="156"/>
        <v>0</v>
      </c>
      <c r="Q117" s="341">
        <f t="shared" si="156"/>
        <v>0</v>
      </c>
      <c r="R117" s="341">
        <f t="shared" si="156"/>
        <v>0</v>
      </c>
      <c r="S117" s="341">
        <f t="shared" si="156"/>
        <v>0</v>
      </c>
      <c r="T117" s="39">
        <f t="shared" si="156"/>
        <v>0</v>
      </c>
      <c r="U117" s="39" t="e">
        <f t="shared" ca="1" si="156"/>
        <v>#DIV/0!</v>
      </c>
      <c r="V117" s="39" t="e">
        <f t="shared" ca="1" si="156"/>
        <v>#DIV/0!</v>
      </c>
    </row>
    <row r="118" spans="2:23" hidden="1" x14ac:dyDescent="0.25">
      <c r="B118" t="s">
        <v>199</v>
      </c>
    </row>
    <row r="119" spans="2:23" hidden="1" x14ac:dyDescent="0.25">
      <c r="B119" t="s">
        <v>200</v>
      </c>
      <c r="E119" s="254">
        <f t="shared" ref="E119:N119" si="157">E22*E120</f>
        <v>454.63600000000002</v>
      </c>
      <c r="F119" s="254">
        <f t="shared" si="157"/>
        <v>462.1647721600001</v>
      </c>
      <c r="G119" s="254">
        <f t="shared" si="157"/>
        <v>468.47332129998404</v>
      </c>
      <c r="H119" s="254">
        <f t="shared" si="157"/>
        <v>477.00890521406973</v>
      </c>
      <c r="I119" s="254">
        <f t="shared" si="157"/>
        <v>492.07284644072996</v>
      </c>
      <c r="J119" s="254">
        <f t="shared" si="157"/>
        <v>506.15105057739913</v>
      </c>
      <c r="K119" s="254">
        <f t="shared" si="157"/>
        <v>520.13094259434683</v>
      </c>
      <c r="L119" s="254">
        <f t="shared" si="157"/>
        <v>534.49695922880267</v>
      </c>
      <c r="M119" s="254">
        <f t="shared" si="157"/>
        <v>548.20146126342922</v>
      </c>
      <c r="N119" s="254">
        <f t="shared" si="157"/>
        <v>561.71462728357278</v>
      </c>
    </row>
    <row r="120" spans="2:23" hidden="1" x14ac:dyDescent="0.25">
      <c r="B120" t="s">
        <v>201</v>
      </c>
      <c r="D120" s="342">
        <v>0.91</v>
      </c>
      <c r="E120" s="342">
        <v>0.91</v>
      </c>
      <c r="F120" s="342">
        <v>0.91</v>
      </c>
      <c r="G120" s="342">
        <v>0.91</v>
      </c>
      <c r="H120" s="342">
        <v>0.91</v>
      </c>
      <c r="I120" s="342">
        <v>0.91</v>
      </c>
      <c r="J120" s="342">
        <v>0.91</v>
      </c>
      <c r="K120" s="342">
        <v>0.91</v>
      </c>
      <c r="L120" s="342">
        <v>0.91</v>
      </c>
      <c r="M120" s="342">
        <v>0.91</v>
      </c>
      <c r="N120" s="342">
        <v>0.91</v>
      </c>
    </row>
    <row r="121" spans="2:23" hidden="1" x14ac:dyDescent="0.25">
      <c r="B121" t="s">
        <v>204</v>
      </c>
      <c r="E121" s="258">
        <f t="shared" ref="E121:V121" si="158">(E22-E119)</f>
        <v>44.963999999999999</v>
      </c>
      <c r="F121" s="258">
        <f t="shared" si="158"/>
        <v>45.708603839999967</v>
      </c>
      <c r="G121" s="258">
        <f t="shared" si="158"/>
        <v>46.332526282415984</v>
      </c>
      <c r="H121" s="258">
        <f t="shared" si="158"/>
        <v>47.176704911281604</v>
      </c>
      <c r="I121" s="258">
        <f t="shared" si="158"/>
        <v>48.666545252379876</v>
      </c>
      <c r="J121" s="258">
        <f t="shared" si="158"/>
        <v>50.058895112050436</v>
      </c>
      <c r="K121" s="258">
        <f t="shared" si="158"/>
        <v>51.441521795045333</v>
      </c>
      <c r="L121" s="258">
        <f t="shared" si="158"/>
        <v>52.862336627024433</v>
      </c>
      <c r="M121" s="258">
        <f t="shared" si="158"/>
        <v>54.217726938141368</v>
      </c>
      <c r="N121" s="258">
        <f t="shared" si="158"/>
        <v>55.554193907166564</v>
      </c>
      <c r="O121" s="258">
        <f t="shared" si="158"/>
        <v>631.87340150011232</v>
      </c>
      <c r="P121" s="258">
        <f t="shared" si="158"/>
        <v>646.19797151211981</v>
      </c>
      <c r="Q121" s="258">
        <f t="shared" si="158"/>
        <v>659.56780754270551</v>
      </c>
      <c r="R121" s="258">
        <f t="shared" si="158"/>
        <v>671.90832122182951</v>
      </c>
      <c r="S121" s="258">
        <f t="shared" si="158"/>
        <v>683.81453667388041</v>
      </c>
      <c r="T121" s="53">
        <f t="shared" si="158"/>
        <v>0</v>
      </c>
      <c r="U121" s="53">
        <f t="shared" si="158"/>
        <v>0</v>
      </c>
      <c r="V121" s="53">
        <f t="shared" si="158"/>
        <v>0</v>
      </c>
    </row>
    <row r="122" spans="2:23" hidden="1" x14ac:dyDescent="0.25">
      <c r="B122" t="s">
        <v>205</v>
      </c>
      <c r="E122" s="254">
        <f>E121*$C$113</f>
        <v>8.0935199999999998</v>
      </c>
      <c r="F122" s="254">
        <f t="shared" ref="F122:N122" si="159">F121*$C$113</f>
        <v>8.2275486911999938</v>
      </c>
      <c r="G122" s="254">
        <f t="shared" si="159"/>
        <v>8.3398547308348761</v>
      </c>
      <c r="H122" s="254">
        <f t="shared" si="159"/>
        <v>8.4918068840306891</v>
      </c>
      <c r="I122" s="254">
        <f t="shared" si="159"/>
        <v>8.7599781454283772</v>
      </c>
      <c r="J122" s="254">
        <f t="shared" si="159"/>
        <v>9.0106011201690777</v>
      </c>
      <c r="K122" s="254">
        <f t="shared" si="159"/>
        <v>9.2594739231081586</v>
      </c>
      <c r="L122" s="254">
        <f t="shared" si="159"/>
        <v>9.5152205928643969</v>
      </c>
      <c r="M122" s="254">
        <f t="shared" si="159"/>
        <v>9.7591908488654457</v>
      </c>
      <c r="N122" s="254">
        <f t="shared" si="159"/>
        <v>9.9997549032899808</v>
      </c>
      <c r="O122" s="254">
        <f t="shared" ref="O122:W122" si="160">O121*M113</f>
        <v>1278911.7646362274</v>
      </c>
      <c r="P122" s="254">
        <f t="shared" si="160"/>
        <v>1308550.8923120426</v>
      </c>
      <c r="Q122" s="254">
        <f t="shared" si="160"/>
        <v>0</v>
      </c>
      <c r="R122" s="254">
        <f t="shared" si="160"/>
        <v>0</v>
      </c>
      <c r="S122" s="254">
        <f t="shared" si="160"/>
        <v>0</v>
      </c>
      <c r="T122" s="54">
        <f t="shared" si="160"/>
        <v>0</v>
      </c>
      <c r="U122" s="54">
        <f t="shared" si="160"/>
        <v>0</v>
      </c>
      <c r="V122" s="54">
        <f t="shared" si="160"/>
        <v>0</v>
      </c>
      <c r="W122" s="54">
        <f t="shared" si="160"/>
        <v>0</v>
      </c>
    </row>
    <row r="123" spans="2:23" hidden="1" x14ac:dyDescent="0.25">
      <c r="B123" t="s">
        <v>206</v>
      </c>
      <c r="E123" s="258">
        <f>E26+E53+E57</f>
        <v>16736.16692</v>
      </c>
      <c r="F123" s="258">
        <f t="shared" ref="F123:N123" si="161">F26+F53+F57</f>
        <v>17149.194669537395</v>
      </c>
      <c r="G123" s="258">
        <f t="shared" si="161"/>
        <v>17567.437537382884</v>
      </c>
      <c r="H123" s="258">
        <f t="shared" si="161"/>
        <v>17991.081559791946</v>
      </c>
      <c r="I123" s="258">
        <f t="shared" si="161"/>
        <v>18446.097508619147</v>
      </c>
      <c r="J123" s="258">
        <f t="shared" si="161"/>
        <v>18914.330162625374</v>
      </c>
      <c r="K123" s="258">
        <f t="shared" si="161"/>
        <v>19396.23405142318</v>
      </c>
      <c r="L123" s="258">
        <f t="shared" si="161"/>
        <v>19892.281574611276</v>
      </c>
      <c r="M123" s="258">
        <f t="shared" si="161"/>
        <v>20402.963776416855</v>
      </c>
      <c r="N123" s="258">
        <f t="shared" si="161"/>
        <v>21160.14317648975</v>
      </c>
    </row>
    <row r="124" spans="2:23" hidden="1" x14ac:dyDescent="0.25">
      <c r="B124" t="s">
        <v>207</v>
      </c>
      <c r="E124" s="254">
        <f>E123*$C$113</f>
        <v>3012.5100456</v>
      </c>
      <c r="F124" s="254">
        <f t="shared" ref="F124:N124" si="162">F123*$C$113</f>
        <v>3086.8550405167312</v>
      </c>
      <c r="G124" s="254">
        <f t="shared" si="162"/>
        <v>3162.1387567289189</v>
      </c>
      <c r="H124" s="254">
        <f t="shared" si="162"/>
        <v>3238.3946807625503</v>
      </c>
      <c r="I124" s="254">
        <f t="shared" si="162"/>
        <v>3320.2975515514463</v>
      </c>
      <c r="J124" s="254">
        <f t="shared" si="162"/>
        <v>3404.5794292725673</v>
      </c>
      <c r="K124" s="254">
        <f t="shared" si="162"/>
        <v>3491.3221292561725</v>
      </c>
      <c r="L124" s="254">
        <f t="shared" si="162"/>
        <v>3580.6106834300294</v>
      </c>
      <c r="M124" s="254">
        <f t="shared" si="162"/>
        <v>3672.5334797550336</v>
      </c>
      <c r="N124" s="254">
        <f t="shared" si="162"/>
        <v>3808.8257717681549</v>
      </c>
    </row>
    <row r="125" spans="2:23" hidden="1" x14ac:dyDescent="0.25">
      <c r="B125" t="s">
        <v>208</v>
      </c>
      <c r="E125" s="254">
        <f>E65+E66+E67+E68+E69+E71+E72+E73</f>
        <v>1530</v>
      </c>
      <c r="F125" s="254">
        <f t="shared" ref="F125:N125" si="163">F65+F66+F67+F68+F69+F71+F72+F73</f>
        <v>1890.9701384081009</v>
      </c>
      <c r="G125" s="254">
        <f t="shared" si="163"/>
        <v>2714.2639589148803</v>
      </c>
      <c r="H125" s="254">
        <f t="shared" si="163"/>
        <v>2561.4582652869212</v>
      </c>
      <c r="I125" s="254">
        <f t="shared" si="163"/>
        <v>2371.6855810094512</v>
      </c>
      <c r="J125" s="254">
        <f t="shared" si="163"/>
        <v>2194.1406199435887</v>
      </c>
      <c r="K125" s="254">
        <f t="shared" si="163"/>
        <v>2029.1913931673275</v>
      </c>
      <c r="L125" s="254">
        <f t="shared" si="163"/>
        <v>1864.5207987153728</v>
      </c>
      <c r="M125" s="254">
        <f t="shared" si="163"/>
        <v>1699.7271521660366</v>
      </c>
      <c r="N125" s="254">
        <f t="shared" si="163"/>
        <v>1534.9485340723234</v>
      </c>
    </row>
    <row r="126" spans="2:23" hidden="1" x14ac:dyDescent="0.25"/>
    <row r="127" spans="2:23" ht="30" hidden="1" x14ac:dyDescent="0.25">
      <c r="B127" s="56" t="s">
        <v>209</v>
      </c>
      <c r="E127" s="254">
        <f>E117-E119-E121-E123-E125</f>
        <v>7532.5</v>
      </c>
      <c r="F127" s="254">
        <f t="shared" ref="F127:N127" si="164">F117-F119-F121-F123-F125</f>
        <v>8300.5975156577188</v>
      </c>
      <c r="G127" s="254">
        <f t="shared" si="164"/>
        <v>8735.7549043572235</v>
      </c>
      <c r="H127" s="254">
        <f t="shared" si="164"/>
        <v>8779.7724834194778</v>
      </c>
      <c r="I127" s="254">
        <f t="shared" si="164"/>
        <v>8672.9760756772685</v>
      </c>
      <c r="J127" s="254">
        <f t="shared" si="164"/>
        <v>8615.9894335462595</v>
      </c>
      <c r="K127" s="254">
        <f t="shared" si="164"/>
        <v>8609.0542649518702</v>
      </c>
      <c r="L127" s="254">
        <f t="shared" si="164"/>
        <v>8602.2018825526975</v>
      </c>
      <c r="M127" s="254">
        <f t="shared" si="164"/>
        <v>8595.3260175138639</v>
      </c>
      <c r="N127" s="254">
        <f t="shared" si="164"/>
        <v>8588.3101085358594</v>
      </c>
      <c r="O127" s="254">
        <f t="shared" ref="O127:V127" si="165">O114-O119-O121-O123-O125</f>
        <v>-631.87340150011232</v>
      </c>
      <c r="P127" s="254">
        <f t="shared" si="165"/>
        <v>-646.19797151211981</v>
      </c>
      <c r="Q127" s="254">
        <f t="shared" si="165"/>
        <v>-659.56780754270551</v>
      </c>
      <c r="R127" s="254">
        <f t="shared" si="165"/>
        <v>-671.90832122182951</v>
      </c>
      <c r="S127" s="254">
        <f t="shared" si="165"/>
        <v>-683.81453667388041</v>
      </c>
      <c r="T127" s="54">
        <f t="shared" si="165"/>
        <v>0</v>
      </c>
      <c r="U127" s="54">
        <f t="shared" si="165"/>
        <v>0</v>
      </c>
      <c r="V127" s="54">
        <f t="shared" si="165"/>
        <v>0</v>
      </c>
    </row>
    <row r="128" spans="2:23" hidden="1" x14ac:dyDescent="0.25"/>
    <row r="129" spans="2:22" hidden="1" x14ac:dyDescent="0.25">
      <c r="B129" t="s">
        <v>212</v>
      </c>
      <c r="E129" s="254">
        <f>E115</f>
        <v>4733.6880455999999</v>
      </c>
      <c r="F129" s="254">
        <f t="shared" ref="F129:N129" si="166">F115</f>
        <v>5088.1167198811199</v>
      </c>
      <c r="G129" s="254">
        <f t="shared" si="166"/>
        <v>5396.8121513996866</v>
      </c>
      <c r="H129" s="254">
        <f t="shared" si="166"/>
        <v>5460.0891324770482</v>
      </c>
      <c r="I129" s="254">
        <f t="shared" si="166"/>
        <v>5492.5966433943167</v>
      </c>
      <c r="J129" s="254">
        <f t="shared" si="166"/>
        <v>5537.9650654321686</v>
      </c>
      <c r="K129" s="254">
        <f t="shared" si="166"/>
        <v>5597.25611187308</v>
      </c>
      <c r="L129" s="254">
        <f t="shared" si="166"/>
        <v>5659.4560981405421</v>
      </c>
      <c r="M129" s="254">
        <f t="shared" si="166"/>
        <v>5724.1794128037081</v>
      </c>
      <c r="N129" s="254">
        <f t="shared" si="166"/>
        <v>5833.2520461274253</v>
      </c>
    </row>
    <row r="130" spans="2:22" hidden="1" x14ac:dyDescent="0.25">
      <c r="B130" t="s">
        <v>219</v>
      </c>
      <c r="E130" s="254"/>
      <c r="F130" s="254">
        <f>E88*18/118</f>
        <v>1525.4237288135594</v>
      </c>
      <c r="G130" s="254"/>
      <c r="H130" s="254"/>
      <c r="I130" s="254"/>
      <c r="J130" s="254"/>
      <c r="K130" s="254"/>
      <c r="L130" s="254"/>
      <c r="M130" s="254"/>
      <c r="N130" s="254"/>
    </row>
    <row r="131" spans="2:22" hidden="1" x14ac:dyDescent="0.25">
      <c r="B131" t="s">
        <v>213</v>
      </c>
      <c r="E131" s="254">
        <f>E122+E124</f>
        <v>3020.6035655999999</v>
      </c>
      <c r="F131" s="254">
        <f t="shared" ref="F131:N131" si="167">F122+F124</f>
        <v>3095.0825892079311</v>
      </c>
      <c r="G131" s="254">
        <f t="shared" si="167"/>
        <v>3170.4786114597537</v>
      </c>
      <c r="H131" s="254">
        <f t="shared" si="167"/>
        <v>3246.8864876465809</v>
      </c>
      <c r="I131" s="254">
        <f t="shared" si="167"/>
        <v>3329.0575296968746</v>
      </c>
      <c r="J131" s="254">
        <f t="shared" si="167"/>
        <v>3413.5900303927365</v>
      </c>
      <c r="K131" s="254">
        <f t="shared" si="167"/>
        <v>3500.5816031792806</v>
      </c>
      <c r="L131" s="254">
        <f t="shared" si="167"/>
        <v>3590.1259040228938</v>
      </c>
      <c r="M131" s="254">
        <f t="shared" si="167"/>
        <v>3682.2926706038988</v>
      </c>
      <c r="N131" s="254">
        <f t="shared" si="167"/>
        <v>3818.825526671445</v>
      </c>
    </row>
    <row r="132" spans="2:22" hidden="1" x14ac:dyDescent="0.25">
      <c r="B132" t="s">
        <v>214</v>
      </c>
      <c r="E132" s="254">
        <f>E131-E129</f>
        <v>-1713.08448</v>
      </c>
      <c r="F132" s="254">
        <f>F131-F129+F130</f>
        <v>-467.61040185962952</v>
      </c>
      <c r="G132" s="254">
        <f t="shared" ref="G132:N132" si="168">G131-G129</f>
        <v>-2226.333539939933</v>
      </c>
      <c r="H132" s="254">
        <f t="shared" si="168"/>
        <v>-2213.2026448304673</v>
      </c>
      <c r="I132" s="254">
        <f t="shared" si="168"/>
        <v>-2163.5391136974422</v>
      </c>
      <c r="J132" s="254">
        <f t="shared" si="168"/>
        <v>-2124.3750350394321</v>
      </c>
      <c r="K132" s="254">
        <f t="shared" si="168"/>
        <v>-2096.6745086937995</v>
      </c>
      <c r="L132" s="254">
        <f t="shared" si="168"/>
        <v>-2069.3301941176483</v>
      </c>
      <c r="M132" s="254">
        <f t="shared" si="168"/>
        <v>-2041.8867421998093</v>
      </c>
      <c r="N132" s="254">
        <f t="shared" si="168"/>
        <v>-2014.4265194559803</v>
      </c>
    </row>
    <row r="133" spans="2:22" hidden="1" x14ac:dyDescent="0.25">
      <c r="E133" s="254"/>
      <c r="F133" s="254"/>
      <c r="G133" s="254"/>
      <c r="H133" s="254"/>
      <c r="I133" s="254"/>
      <c r="J133" s="254"/>
      <c r="K133" s="254"/>
      <c r="L133" s="254"/>
      <c r="M133" s="254"/>
      <c r="N133" s="254"/>
    </row>
    <row r="134" spans="2:22" hidden="1" x14ac:dyDescent="0.25"/>
    <row r="135" spans="2:22" hidden="1" x14ac:dyDescent="0.25">
      <c r="B135" t="s">
        <v>215</v>
      </c>
      <c r="E135" s="258">
        <f>E117*(1+$C$113)</f>
        <v>31031.954965599994</v>
      </c>
      <c r="F135" s="258">
        <f t="shared" ref="F135:V135" si="169">F117*(1+$C$113)</f>
        <v>32861.390125531791</v>
      </c>
      <c r="G135" s="258">
        <f t="shared" si="169"/>
        <v>34848.069452920114</v>
      </c>
      <c r="H135" s="258">
        <f t="shared" si="169"/>
        <v>35230.667543975957</v>
      </c>
      <c r="I135" s="258">
        <f t="shared" si="169"/>
        <v>35437.168297258788</v>
      </c>
      <c r="J135" s="258">
        <f t="shared" si="169"/>
        <v>35731.190790929511</v>
      </c>
      <c r="K135" s="258">
        <f t="shared" si="169"/>
        <v>36115.141565239486</v>
      </c>
      <c r="L135" s="258">
        <f t="shared" si="169"/>
        <v>36516.708991047504</v>
      </c>
      <c r="M135" s="258">
        <f t="shared" si="169"/>
        <v>36934.514638472028</v>
      </c>
      <c r="N135" s="258">
        <f t="shared" si="169"/>
        <v>37642.791355540634</v>
      </c>
      <c r="O135" s="258">
        <f t="shared" si="169"/>
        <v>0</v>
      </c>
      <c r="P135" s="258">
        <f t="shared" si="169"/>
        <v>0</v>
      </c>
      <c r="Q135" s="258">
        <f t="shared" si="169"/>
        <v>0</v>
      </c>
      <c r="R135" s="258">
        <f t="shared" si="169"/>
        <v>0</v>
      </c>
      <c r="S135" s="258">
        <f t="shared" si="169"/>
        <v>0</v>
      </c>
      <c r="T135" s="53">
        <f t="shared" si="169"/>
        <v>0</v>
      </c>
      <c r="U135" s="53" t="e">
        <f t="shared" ca="1" si="169"/>
        <v>#DIV/0!</v>
      </c>
      <c r="V135" s="53" t="e">
        <f t="shared" ca="1" si="169"/>
        <v>#DIV/0!</v>
      </c>
    </row>
    <row r="136" spans="2:22" hidden="1" x14ac:dyDescent="0.25">
      <c r="B136" t="s">
        <v>216</v>
      </c>
      <c r="E136" s="254">
        <f>E119+E121+E122+E123+E124+E125</f>
        <v>21786.3704856</v>
      </c>
      <c r="F136" s="254">
        <f t="shared" ref="F136:N136" si="170">F119+F121+F122+F123+F124+F125</f>
        <v>22643.120773153427</v>
      </c>
      <c r="G136" s="254">
        <f t="shared" si="170"/>
        <v>23966.985955339922</v>
      </c>
      <c r="H136" s="254">
        <f t="shared" si="170"/>
        <v>24323.6119228508</v>
      </c>
      <c r="I136" s="254">
        <f t="shared" si="170"/>
        <v>24687.580011018581</v>
      </c>
      <c r="J136" s="254">
        <f t="shared" si="170"/>
        <v>25078.270758651146</v>
      </c>
      <c r="K136" s="254">
        <f t="shared" si="170"/>
        <v>25497.57951215918</v>
      </c>
      <c r="L136" s="254">
        <f t="shared" si="170"/>
        <v>25934.287573205369</v>
      </c>
      <c r="M136" s="254">
        <f t="shared" si="170"/>
        <v>26387.402787388364</v>
      </c>
      <c r="N136" s="254">
        <f t="shared" si="170"/>
        <v>27131.186058424257</v>
      </c>
    </row>
    <row r="137" spans="2:22" hidden="1" x14ac:dyDescent="0.25">
      <c r="B137" t="s">
        <v>217</v>
      </c>
      <c r="E137" s="254">
        <f>E132</f>
        <v>-1713.08448</v>
      </c>
      <c r="F137" s="254">
        <f t="shared" ref="F137:N137" si="171">F132</f>
        <v>-467.61040185962952</v>
      </c>
      <c r="G137" s="254">
        <f t="shared" si="171"/>
        <v>-2226.333539939933</v>
      </c>
      <c r="H137" s="254">
        <f t="shared" si="171"/>
        <v>-2213.2026448304673</v>
      </c>
      <c r="I137" s="254">
        <f t="shared" si="171"/>
        <v>-2163.5391136974422</v>
      </c>
      <c r="J137" s="254">
        <f t="shared" si="171"/>
        <v>-2124.3750350394321</v>
      </c>
      <c r="K137" s="254">
        <f t="shared" si="171"/>
        <v>-2096.6745086937995</v>
      </c>
      <c r="L137" s="254">
        <f t="shared" si="171"/>
        <v>-2069.3301941176483</v>
      </c>
      <c r="M137" s="254">
        <f t="shared" si="171"/>
        <v>-2041.8867421998093</v>
      </c>
      <c r="N137" s="254">
        <f t="shared" si="171"/>
        <v>-2014.4265194559803</v>
      </c>
    </row>
    <row r="138" spans="2:22" hidden="1" x14ac:dyDescent="0.25">
      <c r="B138" t="s">
        <v>218</v>
      </c>
      <c r="E138" s="254">
        <f>E135-E136+E137</f>
        <v>7532.4999999999945</v>
      </c>
      <c r="F138" s="254">
        <f t="shared" ref="F138:N138" si="172">F135-F136+F137</f>
        <v>9750.6589505187349</v>
      </c>
      <c r="G138" s="254">
        <f t="shared" si="172"/>
        <v>8654.7499576402588</v>
      </c>
      <c r="H138" s="254">
        <f t="shared" si="172"/>
        <v>8693.8529762946891</v>
      </c>
      <c r="I138" s="254">
        <f t="shared" si="172"/>
        <v>8586.0491725427637</v>
      </c>
      <c r="J138" s="254">
        <f t="shared" si="172"/>
        <v>8528.5449972389324</v>
      </c>
      <c r="K138" s="254">
        <f t="shared" si="172"/>
        <v>8520.8875443865072</v>
      </c>
      <c r="L138" s="254">
        <f t="shared" si="172"/>
        <v>8513.0912237244866</v>
      </c>
      <c r="M138" s="254">
        <f t="shared" si="172"/>
        <v>8505.2251088838548</v>
      </c>
      <c r="N138" s="254">
        <f t="shared" si="172"/>
        <v>8497.178777660396</v>
      </c>
    </row>
    <row r="139" spans="2:22" hidden="1" x14ac:dyDescent="0.25"/>
    <row r="140" spans="2:22" hidden="1" x14ac:dyDescent="0.25"/>
  </sheetData>
  <mergeCells count="5">
    <mergeCell ref="E2:V3"/>
    <mergeCell ref="A2:A4"/>
    <mergeCell ref="B2:B4"/>
    <mergeCell ref="C2:C4"/>
    <mergeCell ref="D2:D3"/>
  </mergeCells>
  <phoneticPr fontId="9" type="noConversion"/>
  <conditionalFormatting sqref="A18:V18">
    <cfRule type="cellIs" dxfId="3" priority="3" stopIfTrue="1" operator="equal">
      <formula>"ошибка"</formula>
    </cfRule>
  </conditionalFormatting>
  <conditionalFormatting sqref="E96:V98">
    <cfRule type="cellIs" dxfId="2" priority="2" operator="lessThan">
      <formula>0</formula>
    </cfRule>
  </conditionalFormatting>
  <conditionalFormatting sqref="E106">
    <cfRule type="containsText" dxfId="1" priority="1" operator="containsText" text="negative">
      <formula>NOT(ISERROR(SEARCH("negative",E106)))</formula>
    </cfRule>
  </conditionalFormatting>
  <pageMargins left="0" right="0" top="0.19685039370078741" bottom="0" header="0.51181102362204722" footer="0.51181102362204722"/>
  <pageSetup paperSize="8" scale="43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workbookViewId="0">
      <selection activeCell="C1" sqref="C1:T1048576"/>
    </sheetView>
  </sheetViews>
  <sheetFormatPr defaultColWidth="11.42578125" defaultRowHeight="15" x14ac:dyDescent="0.25"/>
  <cols>
    <col min="1" max="1" width="9.7109375" customWidth="1"/>
    <col min="2" max="2" width="21.7109375" customWidth="1"/>
    <col min="3" max="20" width="8.7109375" style="189" customWidth="1"/>
  </cols>
  <sheetData>
    <row r="1" spans="1:20" x14ac:dyDescent="0.25">
      <c r="A1" s="29"/>
    </row>
    <row r="2" spans="1:20" x14ac:dyDescent="0.25">
      <c r="A2" s="29" t="s">
        <v>229</v>
      </c>
    </row>
    <row r="3" spans="1:20" x14ac:dyDescent="0.25">
      <c r="B3" s="20" t="s">
        <v>228</v>
      </c>
      <c r="C3" s="240">
        <v>2016</v>
      </c>
      <c r="D3" s="240">
        <v>2017</v>
      </c>
      <c r="E3" s="240">
        <v>2018</v>
      </c>
      <c r="F3" s="240">
        <v>2019</v>
      </c>
      <c r="G3" s="240">
        <v>2020</v>
      </c>
      <c r="H3" s="240">
        <v>2021</v>
      </c>
      <c r="I3" s="240">
        <v>2022</v>
      </c>
      <c r="J3" s="240">
        <v>2023</v>
      </c>
      <c r="K3" s="240">
        <v>2024</v>
      </c>
      <c r="L3" s="240">
        <v>2025</v>
      </c>
      <c r="M3" s="240">
        <v>2026</v>
      </c>
      <c r="N3" s="240">
        <v>2027</v>
      </c>
      <c r="O3" s="240">
        <v>2028</v>
      </c>
      <c r="P3" s="240">
        <v>2029</v>
      </c>
      <c r="Q3" s="240">
        <v>2030</v>
      </c>
      <c r="R3" s="240">
        <v>2031</v>
      </c>
      <c r="S3" s="240">
        <v>2032</v>
      </c>
      <c r="T3" s="240">
        <v>2033</v>
      </c>
    </row>
    <row r="4" spans="1:20" ht="15.75" x14ac:dyDescent="0.25">
      <c r="B4" s="113" t="s">
        <v>126</v>
      </c>
      <c r="C4" s="343"/>
      <c r="D4" s="343">
        <f>'Расчет тарифа тепло'!E85-'Расчет тарифа тепло'!E85*18/118</f>
        <v>42372.881355932201</v>
      </c>
      <c r="E4" s="343">
        <v>0</v>
      </c>
      <c r="F4" s="344"/>
      <c r="G4" s="344"/>
      <c r="H4" s="344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</row>
    <row r="5" spans="1:20" x14ac:dyDescent="0.25">
      <c r="B5" s="20">
        <v>2016</v>
      </c>
      <c r="C5" s="345">
        <f>C17</f>
        <v>6329.1139240506327</v>
      </c>
      <c r="D5" s="343">
        <f>C4*'Исходные данные общие'!B11+C5</f>
        <v>6329.1139240506327</v>
      </c>
      <c r="E5" s="343">
        <f>D5</f>
        <v>6329.1139240506327</v>
      </c>
      <c r="F5" s="343">
        <f t="shared" ref="F5" si="0">E5</f>
        <v>6329.1139240506327</v>
      </c>
      <c r="G5" s="343">
        <f t="shared" ref="G5" si="1">F5</f>
        <v>6329.1139240506327</v>
      </c>
      <c r="H5" s="343">
        <f t="shared" ref="H5" si="2">G5</f>
        <v>6329.1139240506327</v>
      </c>
      <c r="I5" s="343">
        <f t="shared" ref="I5" si="3">H5</f>
        <v>6329.1139240506327</v>
      </c>
      <c r="J5" s="343">
        <f t="shared" ref="J5" si="4">I5</f>
        <v>6329.1139240506327</v>
      </c>
      <c r="K5" s="343">
        <f t="shared" ref="K5" si="5">J5</f>
        <v>6329.1139240506327</v>
      </c>
      <c r="L5" s="343">
        <f t="shared" ref="L5" si="6">K5</f>
        <v>6329.1139240506327</v>
      </c>
      <c r="M5" s="343"/>
      <c r="N5" s="343"/>
      <c r="O5" s="343"/>
      <c r="P5" s="343"/>
      <c r="Q5" s="343"/>
      <c r="R5" s="343"/>
      <c r="S5" s="343"/>
      <c r="T5" s="343"/>
    </row>
    <row r="6" spans="1:20" x14ac:dyDescent="0.25">
      <c r="B6" s="20">
        <v>2017</v>
      </c>
      <c r="C6" s="343"/>
      <c r="D6" s="343"/>
      <c r="E6" s="343">
        <f>D4*'Исходные данные общие'!C11</f>
        <v>1398.3050847457628</v>
      </c>
      <c r="F6" s="343">
        <f>E6</f>
        <v>1398.3050847457628</v>
      </c>
      <c r="G6" s="343">
        <f t="shared" ref="G6:T6" si="7">F6</f>
        <v>1398.3050847457628</v>
      </c>
      <c r="H6" s="343">
        <f t="shared" si="7"/>
        <v>1398.3050847457628</v>
      </c>
      <c r="I6" s="343">
        <f t="shared" si="7"/>
        <v>1398.3050847457628</v>
      </c>
      <c r="J6" s="343">
        <f t="shared" si="7"/>
        <v>1398.3050847457628</v>
      </c>
      <c r="K6" s="343">
        <f t="shared" si="7"/>
        <v>1398.3050847457628</v>
      </c>
      <c r="L6" s="343">
        <f t="shared" si="7"/>
        <v>1398.3050847457628</v>
      </c>
      <c r="M6" s="343">
        <f t="shared" si="7"/>
        <v>1398.3050847457628</v>
      </c>
      <c r="N6" s="343">
        <f t="shared" si="7"/>
        <v>1398.3050847457628</v>
      </c>
      <c r="O6" s="343">
        <f t="shared" si="7"/>
        <v>1398.3050847457628</v>
      </c>
      <c r="P6" s="343">
        <f t="shared" si="7"/>
        <v>1398.3050847457628</v>
      </c>
      <c r="Q6" s="343">
        <f t="shared" si="7"/>
        <v>1398.3050847457628</v>
      </c>
      <c r="R6" s="343">
        <f t="shared" si="7"/>
        <v>1398.3050847457628</v>
      </c>
      <c r="S6" s="343">
        <f t="shared" si="7"/>
        <v>1398.3050847457628</v>
      </c>
      <c r="T6" s="343">
        <f t="shared" si="7"/>
        <v>1398.3050847457628</v>
      </c>
    </row>
    <row r="7" spans="1:20" x14ac:dyDescent="0.25">
      <c r="B7" s="20">
        <v>2018</v>
      </c>
      <c r="C7" s="343"/>
      <c r="D7" s="343"/>
      <c r="E7" s="343"/>
      <c r="F7" s="343">
        <f>E4*'Исходные данные общие'!D11</f>
        <v>0</v>
      </c>
      <c r="G7" s="343">
        <f t="shared" ref="G7:T7" si="8">F7</f>
        <v>0</v>
      </c>
      <c r="H7" s="343">
        <f t="shared" si="8"/>
        <v>0</v>
      </c>
      <c r="I7" s="343">
        <f t="shared" si="8"/>
        <v>0</v>
      </c>
      <c r="J7" s="343">
        <f t="shared" si="8"/>
        <v>0</v>
      </c>
      <c r="K7" s="343">
        <f t="shared" si="8"/>
        <v>0</v>
      </c>
      <c r="L7" s="343">
        <f t="shared" si="8"/>
        <v>0</v>
      </c>
      <c r="M7" s="343">
        <f t="shared" si="8"/>
        <v>0</v>
      </c>
      <c r="N7" s="343">
        <f t="shared" si="8"/>
        <v>0</v>
      </c>
      <c r="O7" s="343">
        <f t="shared" si="8"/>
        <v>0</v>
      </c>
      <c r="P7" s="343">
        <f t="shared" si="8"/>
        <v>0</v>
      </c>
      <c r="Q7" s="343">
        <f t="shared" si="8"/>
        <v>0</v>
      </c>
      <c r="R7" s="343">
        <f t="shared" si="8"/>
        <v>0</v>
      </c>
      <c r="S7" s="343">
        <f t="shared" si="8"/>
        <v>0</v>
      </c>
      <c r="T7" s="343">
        <f t="shared" si="8"/>
        <v>0</v>
      </c>
    </row>
    <row r="8" spans="1:20" x14ac:dyDescent="0.25">
      <c r="B8" s="20">
        <v>2019</v>
      </c>
      <c r="C8" s="343"/>
      <c r="D8" s="343"/>
      <c r="E8" s="343"/>
      <c r="F8" s="343"/>
      <c r="G8" s="343">
        <f>F4*'Исходные данные общие'!E12</f>
        <v>0</v>
      </c>
      <c r="H8" s="343">
        <f t="shared" ref="H8:T8" si="9">G8</f>
        <v>0</v>
      </c>
      <c r="I8" s="343">
        <f t="shared" si="9"/>
        <v>0</v>
      </c>
      <c r="J8" s="343">
        <f t="shared" si="9"/>
        <v>0</v>
      </c>
      <c r="K8" s="343">
        <f t="shared" si="9"/>
        <v>0</v>
      </c>
      <c r="L8" s="343">
        <f t="shared" si="9"/>
        <v>0</v>
      </c>
      <c r="M8" s="343">
        <f t="shared" si="9"/>
        <v>0</v>
      </c>
      <c r="N8" s="343">
        <f t="shared" si="9"/>
        <v>0</v>
      </c>
      <c r="O8" s="343">
        <f t="shared" si="9"/>
        <v>0</v>
      </c>
      <c r="P8" s="343">
        <f t="shared" si="9"/>
        <v>0</v>
      </c>
      <c r="Q8" s="343">
        <f t="shared" si="9"/>
        <v>0</v>
      </c>
      <c r="R8" s="343">
        <f t="shared" si="9"/>
        <v>0</v>
      </c>
      <c r="S8" s="343">
        <f t="shared" si="9"/>
        <v>0</v>
      </c>
      <c r="T8" s="343">
        <f t="shared" si="9"/>
        <v>0</v>
      </c>
    </row>
    <row r="9" spans="1:20" x14ac:dyDescent="0.25">
      <c r="B9" s="20">
        <v>2020</v>
      </c>
      <c r="C9" s="343"/>
      <c r="D9" s="343"/>
      <c r="E9" s="343"/>
      <c r="F9" s="343"/>
      <c r="G9" s="343"/>
      <c r="H9" s="343">
        <f>H4*'Исходные данные общие'!F13</f>
        <v>0</v>
      </c>
      <c r="I9" s="343">
        <f t="shared" ref="I9:T9" si="10">H9</f>
        <v>0</v>
      </c>
      <c r="J9" s="343">
        <f t="shared" si="10"/>
        <v>0</v>
      </c>
      <c r="K9" s="343">
        <f t="shared" si="10"/>
        <v>0</v>
      </c>
      <c r="L9" s="343">
        <f t="shared" si="10"/>
        <v>0</v>
      </c>
      <c r="M9" s="343">
        <f t="shared" si="10"/>
        <v>0</v>
      </c>
      <c r="N9" s="343">
        <f t="shared" si="10"/>
        <v>0</v>
      </c>
      <c r="O9" s="343">
        <f t="shared" si="10"/>
        <v>0</v>
      </c>
      <c r="P9" s="343">
        <f t="shared" si="10"/>
        <v>0</v>
      </c>
      <c r="Q9" s="343">
        <f t="shared" si="10"/>
        <v>0</v>
      </c>
      <c r="R9" s="343">
        <f t="shared" si="10"/>
        <v>0</v>
      </c>
      <c r="S9" s="343">
        <f t="shared" si="10"/>
        <v>0</v>
      </c>
      <c r="T9" s="343">
        <f t="shared" si="10"/>
        <v>0</v>
      </c>
    </row>
    <row r="10" spans="1:20" x14ac:dyDescent="0.25">
      <c r="B10" s="20">
        <v>2021</v>
      </c>
      <c r="C10" s="343"/>
      <c r="D10" s="343"/>
      <c r="E10" s="343"/>
      <c r="F10" s="343"/>
      <c r="G10" s="343"/>
      <c r="H10" s="343"/>
      <c r="I10" s="343">
        <f>H4/30</f>
        <v>0</v>
      </c>
      <c r="J10" s="343">
        <f t="shared" ref="J10:T10" si="11">I10</f>
        <v>0</v>
      </c>
      <c r="K10" s="343">
        <f t="shared" si="11"/>
        <v>0</v>
      </c>
      <c r="L10" s="343">
        <f t="shared" si="11"/>
        <v>0</v>
      </c>
      <c r="M10" s="343">
        <f t="shared" si="11"/>
        <v>0</v>
      </c>
      <c r="N10" s="343">
        <f t="shared" si="11"/>
        <v>0</v>
      </c>
      <c r="O10" s="343">
        <f t="shared" si="11"/>
        <v>0</v>
      </c>
      <c r="P10" s="343">
        <f t="shared" si="11"/>
        <v>0</v>
      </c>
      <c r="Q10" s="343">
        <f t="shared" si="11"/>
        <v>0</v>
      </c>
      <c r="R10" s="343">
        <f t="shared" si="11"/>
        <v>0</v>
      </c>
      <c r="S10" s="343">
        <f t="shared" si="11"/>
        <v>0</v>
      </c>
      <c r="T10" s="343">
        <f t="shared" si="11"/>
        <v>0</v>
      </c>
    </row>
    <row r="11" spans="1:20" x14ac:dyDescent="0.25">
      <c r="B11" s="20" t="s">
        <v>46</v>
      </c>
      <c r="C11" s="346">
        <f t="shared" ref="C11:T11" si="12">SUM(C5:C10)</f>
        <v>6329.1139240506327</v>
      </c>
      <c r="D11" s="346">
        <f t="shared" si="12"/>
        <v>6329.1139240506327</v>
      </c>
      <c r="E11" s="346">
        <f t="shared" si="12"/>
        <v>7727.4190087963952</v>
      </c>
      <c r="F11" s="346">
        <f t="shared" si="12"/>
        <v>7727.4190087963952</v>
      </c>
      <c r="G11" s="346">
        <f t="shared" si="12"/>
        <v>7727.4190087963952</v>
      </c>
      <c r="H11" s="346">
        <f t="shared" si="12"/>
        <v>7727.4190087963952</v>
      </c>
      <c r="I11" s="346">
        <f t="shared" si="12"/>
        <v>7727.4190087963952</v>
      </c>
      <c r="J11" s="346">
        <f t="shared" si="12"/>
        <v>7727.4190087963952</v>
      </c>
      <c r="K11" s="346">
        <f t="shared" si="12"/>
        <v>7727.4190087963952</v>
      </c>
      <c r="L11" s="346">
        <f t="shared" si="12"/>
        <v>7727.4190087963952</v>
      </c>
      <c r="M11" s="346">
        <f t="shared" si="12"/>
        <v>1398.3050847457628</v>
      </c>
      <c r="N11" s="346">
        <f t="shared" si="12"/>
        <v>1398.3050847457628</v>
      </c>
      <c r="O11" s="346">
        <f t="shared" si="12"/>
        <v>1398.3050847457628</v>
      </c>
      <c r="P11" s="346">
        <f t="shared" si="12"/>
        <v>1398.3050847457628</v>
      </c>
      <c r="Q11" s="346">
        <f t="shared" si="12"/>
        <v>1398.3050847457628</v>
      </c>
      <c r="R11" s="346">
        <f t="shared" si="12"/>
        <v>1398.3050847457628</v>
      </c>
      <c r="S11" s="346">
        <f t="shared" si="12"/>
        <v>1398.3050847457628</v>
      </c>
      <c r="T11" s="346">
        <f t="shared" si="12"/>
        <v>1398.3050847457628</v>
      </c>
    </row>
    <row r="14" spans="1:20" x14ac:dyDescent="0.25">
      <c r="A14" s="29" t="s">
        <v>48</v>
      </c>
    </row>
    <row r="15" spans="1:20" x14ac:dyDescent="0.25">
      <c r="B15" s="20" t="s">
        <v>228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</row>
    <row r="16" spans="1:20" ht="30" x14ac:dyDescent="0.25">
      <c r="B16" s="128" t="s">
        <v>50</v>
      </c>
      <c r="C16" s="347">
        <v>50000</v>
      </c>
      <c r="D16" s="348">
        <f>C18+C4</f>
        <v>43670.886075949369</v>
      </c>
      <c r="E16" s="348">
        <f>D18+D4</f>
        <v>79714.653507830939</v>
      </c>
      <c r="F16" s="348">
        <f t="shared" ref="F16:I16" si="13">E18+E4</f>
        <v>71987.234499034545</v>
      </c>
      <c r="G16" s="348">
        <f t="shared" si="13"/>
        <v>64259.81549023815</v>
      </c>
      <c r="H16" s="348">
        <f t="shared" si="13"/>
        <v>56532.396481441756</v>
      </c>
      <c r="I16" s="348">
        <f t="shared" si="13"/>
        <v>48804.977472645362</v>
      </c>
      <c r="J16" s="348">
        <f>I18</f>
        <v>41077.558463848967</v>
      </c>
      <c r="K16" s="348">
        <f>J18</f>
        <v>33350.139455052573</v>
      </c>
      <c r="L16" s="348">
        <f t="shared" ref="L16:T16" si="14">K18</f>
        <v>25622.720446256179</v>
      </c>
      <c r="M16" s="348">
        <f t="shared" si="14"/>
        <v>17895.301437459784</v>
      </c>
      <c r="N16" s="348">
        <f t="shared" si="14"/>
        <v>16496.996352714021</v>
      </c>
      <c r="O16" s="348">
        <f t="shared" si="14"/>
        <v>15098.691267968257</v>
      </c>
      <c r="P16" s="348">
        <f t="shared" si="14"/>
        <v>13700.386183222494</v>
      </c>
      <c r="Q16" s="348">
        <f t="shared" si="14"/>
        <v>12302.08109847673</v>
      </c>
      <c r="R16" s="348">
        <f t="shared" si="14"/>
        <v>10903.776013730967</v>
      </c>
      <c r="S16" s="348">
        <f t="shared" si="14"/>
        <v>9505.4709289852035</v>
      </c>
      <c r="T16" s="348">
        <f t="shared" si="14"/>
        <v>8107.165844239441</v>
      </c>
    </row>
    <row r="17" spans="1:20" x14ac:dyDescent="0.25">
      <c r="B17" s="106" t="s">
        <v>49</v>
      </c>
      <c r="C17" s="348">
        <f>C16/7.9</f>
        <v>6329.1139240506327</v>
      </c>
      <c r="D17" s="348">
        <f t="shared" ref="D17:T17" si="15">D11</f>
        <v>6329.1139240506327</v>
      </c>
      <c r="E17" s="348">
        <f>E11</f>
        <v>7727.4190087963952</v>
      </c>
      <c r="F17" s="348">
        <f>F11</f>
        <v>7727.4190087963952</v>
      </c>
      <c r="G17" s="348">
        <f t="shared" si="15"/>
        <v>7727.4190087963952</v>
      </c>
      <c r="H17" s="348">
        <f t="shared" si="15"/>
        <v>7727.4190087963952</v>
      </c>
      <c r="I17" s="348">
        <f t="shared" si="15"/>
        <v>7727.4190087963952</v>
      </c>
      <c r="J17" s="348">
        <f t="shared" si="15"/>
        <v>7727.4190087963952</v>
      </c>
      <c r="K17" s="348">
        <f t="shared" si="15"/>
        <v>7727.4190087963952</v>
      </c>
      <c r="L17" s="348">
        <f t="shared" si="15"/>
        <v>7727.4190087963952</v>
      </c>
      <c r="M17" s="348">
        <f t="shared" si="15"/>
        <v>1398.3050847457628</v>
      </c>
      <c r="N17" s="348">
        <f t="shared" si="15"/>
        <v>1398.3050847457628</v>
      </c>
      <c r="O17" s="348">
        <f t="shared" si="15"/>
        <v>1398.3050847457628</v>
      </c>
      <c r="P17" s="348">
        <f t="shared" si="15"/>
        <v>1398.3050847457628</v>
      </c>
      <c r="Q17" s="348">
        <f t="shared" si="15"/>
        <v>1398.3050847457628</v>
      </c>
      <c r="R17" s="348">
        <f t="shared" si="15"/>
        <v>1398.3050847457628</v>
      </c>
      <c r="S17" s="348">
        <f t="shared" si="15"/>
        <v>1398.3050847457628</v>
      </c>
      <c r="T17" s="348">
        <f t="shared" si="15"/>
        <v>1398.3050847457628</v>
      </c>
    </row>
    <row r="18" spans="1:20" ht="30" x14ac:dyDescent="0.25">
      <c r="B18" s="128" t="s">
        <v>51</v>
      </c>
      <c r="C18" s="348">
        <f>C16-C17</f>
        <v>43670.886075949369</v>
      </c>
      <c r="D18" s="348">
        <f>D16-D17</f>
        <v>37341.772151898738</v>
      </c>
      <c r="E18" s="348">
        <f t="shared" ref="E18:T18" si="16">E16-E17</f>
        <v>71987.234499034545</v>
      </c>
      <c r="F18" s="348">
        <f t="shared" si="16"/>
        <v>64259.81549023815</v>
      </c>
      <c r="G18" s="348">
        <f t="shared" si="16"/>
        <v>56532.396481441756</v>
      </c>
      <c r="H18" s="348">
        <f t="shared" si="16"/>
        <v>48804.977472645362</v>
      </c>
      <c r="I18" s="348">
        <f t="shared" si="16"/>
        <v>41077.558463848967</v>
      </c>
      <c r="J18" s="348">
        <f t="shared" si="16"/>
        <v>33350.139455052573</v>
      </c>
      <c r="K18" s="348">
        <f t="shared" si="16"/>
        <v>25622.720446256179</v>
      </c>
      <c r="L18" s="348">
        <f t="shared" si="16"/>
        <v>17895.301437459784</v>
      </c>
      <c r="M18" s="348">
        <f t="shared" si="16"/>
        <v>16496.996352714021</v>
      </c>
      <c r="N18" s="348">
        <f t="shared" si="16"/>
        <v>15098.691267968257</v>
      </c>
      <c r="O18" s="348">
        <f t="shared" si="16"/>
        <v>13700.386183222494</v>
      </c>
      <c r="P18" s="348">
        <f t="shared" si="16"/>
        <v>12302.08109847673</v>
      </c>
      <c r="Q18" s="348">
        <f t="shared" si="16"/>
        <v>10903.776013730967</v>
      </c>
      <c r="R18" s="348">
        <f t="shared" si="16"/>
        <v>9505.4709289852035</v>
      </c>
      <c r="S18" s="348">
        <f t="shared" si="16"/>
        <v>8107.165844239441</v>
      </c>
      <c r="T18" s="348">
        <f t="shared" si="16"/>
        <v>6708.8607594936784</v>
      </c>
    </row>
    <row r="19" spans="1:20" ht="30" x14ac:dyDescent="0.25">
      <c r="B19" s="128" t="s">
        <v>52</v>
      </c>
      <c r="C19" s="348">
        <f>(C16+C18)/2</f>
        <v>46835.443037974685</v>
      </c>
      <c r="D19" s="348">
        <f>(D16+D18)/2</f>
        <v>40506.329113924054</v>
      </c>
      <c r="E19" s="348">
        <f t="shared" ref="E19:T19" si="17">(E16+E18)/2</f>
        <v>75850.944003432742</v>
      </c>
      <c r="F19" s="348">
        <f t="shared" si="17"/>
        <v>68123.524994636347</v>
      </c>
      <c r="G19" s="348">
        <f t="shared" si="17"/>
        <v>60396.105985839953</v>
      </c>
      <c r="H19" s="348">
        <f t="shared" si="17"/>
        <v>52668.686977043559</v>
      </c>
      <c r="I19" s="348">
        <f t="shared" si="17"/>
        <v>44941.267968247164</v>
      </c>
      <c r="J19" s="348">
        <f t="shared" si="17"/>
        <v>37213.84895945077</v>
      </c>
      <c r="K19" s="348">
        <f t="shared" si="17"/>
        <v>29486.429950654376</v>
      </c>
      <c r="L19" s="348">
        <f t="shared" si="17"/>
        <v>21759.010941857981</v>
      </c>
      <c r="M19" s="348">
        <f t="shared" si="17"/>
        <v>17196.148895086902</v>
      </c>
      <c r="N19" s="348">
        <f t="shared" si="17"/>
        <v>15797.843810341139</v>
      </c>
      <c r="O19" s="348">
        <f t="shared" si="17"/>
        <v>14399.538725595376</v>
      </c>
      <c r="P19" s="348">
        <f t="shared" si="17"/>
        <v>13001.233640849612</v>
      </c>
      <c r="Q19" s="348">
        <f t="shared" si="17"/>
        <v>11602.928556103849</v>
      </c>
      <c r="R19" s="348">
        <f t="shared" si="17"/>
        <v>10204.623471358085</v>
      </c>
      <c r="S19" s="348">
        <f t="shared" si="17"/>
        <v>8806.3183866123218</v>
      </c>
      <c r="T19" s="348">
        <f t="shared" si="17"/>
        <v>7408.0133018665601</v>
      </c>
    </row>
    <row r="20" spans="1:20" ht="30" x14ac:dyDescent="0.25">
      <c r="B20" s="128" t="s">
        <v>53</v>
      </c>
      <c r="C20" s="349">
        <f>C19*0.022</f>
        <v>1030.379746835443</v>
      </c>
      <c r="D20" s="349">
        <f>D19*0.022</f>
        <v>891.13924050632909</v>
      </c>
      <c r="E20" s="349">
        <f>E19*0.022</f>
        <v>1668.7207680755203</v>
      </c>
      <c r="F20" s="349">
        <f t="shared" ref="F20:T20" si="18">F19*0.022</f>
        <v>1498.7175498819995</v>
      </c>
      <c r="G20" s="349">
        <f t="shared" si="18"/>
        <v>1328.714331688479</v>
      </c>
      <c r="H20" s="349">
        <f t="shared" si="18"/>
        <v>1158.7111134949582</v>
      </c>
      <c r="I20" s="349">
        <f t="shared" si="18"/>
        <v>988.70789530143759</v>
      </c>
      <c r="J20" s="349">
        <f t="shared" si="18"/>
        <v>818.70467710791695</v>
      </c>
      <c r="K20" s="349">
        <f t="shared" si="18"/>
        <v>648.7014589143962</v>
      </c>
      <c r="L20" s="349">
        <f t="shared" si="18"/>
        <v>478.69824072087556</v>
      </c>
      <c r="M20" s="349">
        <f t="shared" si="18"/>
        <v>378.31527569191184</v>
      </c>
      <c r="N20" s="349">
        <f t="shared" si="18"/>
        <v>347.55256382750503</v>
      </c>
      <c r="O20" s="349">
        <f t="shared" si="18"/>
        <v>316.78985196309827</v>
      </c>
      <c r="P20" s="349">
        <f t="shared" si="18"/>
        <v>286.02714009869146</v>
      </c>
      <c r="Q20" s="349">
        <f t="shared" si="18"/>
        <v>255.26442823428465</v>
      </c>
      <c r="R20" s="349">
        <f t="shared" si="18"/>
        <v>224.50171636987787</v>
      </c>
      <c r="S20" s="349">
        <f t="shared" si="18"/>
        <v>193.73900450547106</v>
      </c>
      <c r="T20" s="349">
        <f t="shared" si="18"/>
        <v>162.9762926410643</v>
      </c>
    </row>
    <row r="23" spans="1:20" x14ac:dyDescent="0.25">
      <c r="A23" s="29" t="s">
        <v>230</v>
      </c>
    </row>
    <row r="24" spans="1:20" x14ac:dyDescent="0.25">
      <c r="B24" s="20" t="s">
        <v>228</v>
      </c>
      <c r="C24" s="240">
        <v>2016</v>
      </c>
      <c r="D24" s="240">
        <v>2017</v>
      </c>
      <c r="E24" s="240">
        <v>2018</v>
      </c>
      <c r="F24" s="240">
        <v>2019</v>
      </c>
      <c r="G24" s="240">
        <v>2020</v>
      </c>
      <c r="H24" s="240">
        <v>2021</v>
      </c>
      <c r="I24" s="240">
        <v>2022</v>
      </c>
      <c r="J24" s="240">
        <v>2023</v>
      </c>
      <c r="K24" s="240">
        <v>2024</v>
      </c>
      <c r="L24" s="240">
        <v>2025</v>
      </c>
      <c r="M24" s="240">
        <v>2026</v>
      </c>
      <c r="N24" s="240">
        <v>2027</v>
      </c>
      <c r="O24" s="240">
        <v>2028</v>
      </c>
      <c r="P24" s="240">
        <v>2029</v>
      </c>
      <c r="Q24" s="240">
        <v>2030</v>
      </c>
      <c r="R24" s="240">
        <v>2031</v>
      </c>
      <c r="S24" s="240">
        <v>2032</v>
      </c>
      <c r="T24" s="240">
        <v>2033</v>
      </c>
    </row>
    <row r="25" spans="1:20" x14ac:dyDescent="0.25">
      <c r="B25" s="113" t="s">
        <v>126</v>
      </c>
      <c r="C25" s="343"/>
      <c r="D25" s="343">
        <f>'Расчет тарифа тепло'!E88-'Расчет тарифа тепло'!E88*18/118+'Расчет тарифа тепло'!E89-'Расчет тарифа тепло'!E89*18/118</f>
        <v>8474.5762711864409</v>
      </c>
      <c r="E25" s="343">
        <f>'Расчет тарифа тепло'!F88-'Расчет тарифа тепло'!F88*18/118+'Расчет тарифа тепло'!F89-'Расчет тарифа тепло'!F89*18/118</f>
        <v>0</v>
      </c>
      <c r="F25" s="343">
        <f>'Расчет тарифа тепло'!G88-'Расчет тарифа тепло'!G88*18/118+'Расчет тарифа тепло'!G89-'Расчет тарифа тепло'!G89*18/118</f>
        <v>0</v>
      </c>
      <c r="G25" s="343">
        <f>'Расчет тарифа тепло'!H88-'Расчет тарифа тепло'!H88*18/118+'Расчет тарифа тепло'!H89-'Расчет тарифа тепло'!H89*18/118</f>
        <v>0</v>
      </c>
      <c r="H25" s="343">
        <f>'Расчет тарифа тепло'!I88-'Расчет тарифа тепло'!I88*18/118+'Расчет тарифа тепло'!I89-'Расчет тарифа тепло'!I89*18/118</f>
        <v>0</v>
      </c>
      <c r="I25" s="343">
        <f>'Расчет тарифа тепло'!J88-'Расчет тарифа тепло'!J88*18/118+'Расчет тарифа тепло'!J89-'Расчет тарифа тепло'!J89*18/118</f>
        <v>0</v>
      </c>
      <c r="J25" s="343">
        <f>'Расчет тарифа тепло'!K88-'Расчет тарифа тепло'!K88*18/118+'Расчет тарифа тепло'!K89-'Расчет тарифа тепло'!K89*18/118</f>
        <v>0</v>
      </c>
      <c r="K25" s="343">
        <f>'Расчет тарифа тепло'!L88-'Расчет тарифа тепло'!L88*18/118+'Расчет тарифа тепло'!L89-'Расчет тарифа тепло'!L89*18/118</f>
        <v>0</v>
      </c>
      <c r="L25" s="343">
        <f>'Расчет тарифа тепло'!M88-'Расчет тарифа тепло'!M88*18/118+'Расчет тарифа тепло'!M89-'Расчет тарифа тепло'!M89*18/118</f>
        <v>0</v>
      </c>
      <c r="M25" s="343">
        <f>'Расчет тарифа тепло'!N88-'Расчет тарифа тепло'!N88*18/118+'Расчет тарифа тепло'!N89-'Расчет тарифа тепло'!N89*18/118</f>
        <v>0</v>
      </c>
      <c r="N25" s="343">
        <f>'Расчет тарифа тепло'!O88-'Расчет тарифа тепло'!O88*18/118</f>
        <v>0</v>
      </c>
      <c r="O25" s="343">
        <f>'Расчет тарифа тепло'!P88-'Расчет тарифа тепло'!P88*18/118</f>
        <v>0</v>
      </c>
      <c r="P25" s="343">
        <f>'Расчет тарифа тепло'!Q88-'Расчет тарифа тепло'!Q88*18/118</f>
        <v>0</v>
      </c>
      <c r="Q25" s="343">
        <f>'Расчет тарифа тепло'!R88-'Расчет тарифа тепло'!R88*18/118</f>
        <v>0</v>
      </c>
      <c r="R25" s="343">
        <f>'Расчет тарифа тепло'!S88-'Расчет тарифа тепло'!S88*18/118</f>
        <v>0</v>
      </c>
      <c r="S25" s="343">
        <f>'Расчет тарифа тепло'!T88-'Расчет тарифа тепло'!T88*18/118</f>
        <v>0</v>
      </c>
      <c r="T25" s="343">
        <f>'Расчет тарифа тепло'!U88-'Расчет тарифа тепло'!U88*18/118</f>
        <v>0</v>
      </c>
    </row>
    <row r="26" spans="1:20" x14ac:dyDescent="0.25">
      <c r="B26" s="20">
        <v>2016</v>
      </c>
      <c r="C26" s="345">
        <f>C5</f>
        <v>6329.1139240506327</v>
      </c>
      <c r="D26" s="345">
        <f>D5</f>
        <v>6329.1139240506327</v>
      </c>
      <c r="E26" s="345">
        <f t="shared" ref="E26:S26" si="19">E5</f>
        <v>6329.1139240506327</v>
      </c>
      <c r="F26" s="345">
        <f t="shared" si="19"/>
        <v>6329.1139240506327</v>
      </c>
      <c r="G26" s="345">
        <f t="shared" si="19"/>
        <v>6329.1139240506327</v>
      </c>
      <c r="H26" s="345">
        <f t="shared" si="19"/>
        <v>6329.1139240506327</v>
      </c>
      <c r="I26" s="345">
        <f t="shared" si="19"/>
        <v>6329.1139240506327</v>
      </c>
      <c r="J26" s="345">
        <f t="shared" si="19"/>
        <v>6329.1139240506327</v>
      </c>
      <c r="K26" s="345">
        <f t="shared" si="19"/>
        <v>6329.1139240506327</v>
      </c>
      <c r="L26" s="345">
        <f t="shared" si="19"/>
        <v>6329.1139240506327</v>
      </c>
      <c r="M26" s="345">
        <f t="shared" si="19"/>
        <v>0</v>
      </c>
      <c r="N26" s="345">
        <f t="shared" si="19"/>
        <v>0</v>
      </c>
      <c r="O26" s="345">
        <f t="shared" si="19"/>
        <v>0</v>
      </c>
      <c r="P26" s="345">
        <f t="shared" si="19"/>
        <v>0</v>
      </c>
      <c r="Q26" s="345">
        <f t="shared" si="19"/>
        <v>0</v>
      </c>
      <c r="R26" s="345">
        <f t="shared" si="19"/>
        <v>0</v>
      </c>
      <c r="S26" s="345">
        <f t="shared" si="19"/>
        <v>0</v>
      </c>
      <c r="T26" s="343"/>
    </row>
    <row r="27" spans="1:20" x14ac:dyDescent="0.25">
      <c r="B27" s="20">
        <v>2017</v>
      </c>
      <c r="C27" s="343"/>
      <c r="D27" s="343"/>
      <c r="E27" s="343">
        <f>D25*'Исходные данные общие'!C11</f>
        <v>279.66101694915255</v>
      </c>
      <c r="F27" s="343">
        <f t="shared" ref="F27" si="20">E27</f>
        <v>279.66101694915255</v>
      </c>
      <c r="G27" s="343">
        <f t="shared" ref="G27:G28" si="21">F27</f>
        <v>279.66101694915255</v>
      </c>
      <c r="H27" s="343">
        <f t="shared" ref="H27:H29" si="22">G27</f>
        <v>279.66101694915255</v>
      </c>
      <c r="I27" s="343">
        <f t="shared" ref="I27:I30" si="23">H27</f>
        <v>279.66101694915255</v>
      </c>
      <c r="J27" s="343">
        <f t="shared" ref="J27:J31" si="24">I27</f>
        <v>279.66101694915255</v>
      </c>
      <c r="K27" s="343">
        <f t="shared" ref="K27:K31" si="25">J27</f>
        <v>279.66101694915255</v>
      </c>
      <c r="L27" s="343">
        <f t="shared" ref="L27:L31" si="26">K27</f>
        <v>279.66101694915255</v>
      </c>
      <c r="M27" s="343">
        <f t="shared" ref="M27:M31" si="27">L27</f>
        <v>279.66101694915255</v>
      </c>
      <c r="N27" s="343">
        <f t="shared" ref="N27:N31" si="28">M27</f>
        <v>279.66101694915255</v>
      </c>
      <c r="O27" s="343">
        <f t="shared" ref="O27:O31" si="29">N27</f>
        <v>279.66101694915255</v>
      </c>
      <c r="P27" s="343">
        <f t="shared" ref="P27:P31" si="30">O27</f>
        <v>279.66101694915255</v>
      </c>
      <c r="Q27" s="343">
        <f t="shared" ref="Q27:Q31" si="31">P27</f>
        <v>279.66101694915255</v>
      </c>
      <c r="R27" s="343">
        <f t="shared" ref="R27:R31" si="32">Q27</f>
        <v>279.66101694915255</v>
      </c>
      <c r="S27" s="343">
        <f t="shared" ref="S27:S31" si="33">R27</f>
        <v>279.66101694915255</v>
      </c>
      <c r="T27" s="343">
        <f t="shared" ref="T27:T31" si="34">S27</f>
        <v>279.66101694915255</v>
      </c>
    </row>
    <row r="28" spans="1:20" x14ac:dyDescent="0.25">
      <c r="B28" s="20">
        <v>2018</v>
      </c>
      <c r="C28" s="343"/>
      <c r="D28" s="343"/>
      <c r="E28" s="343"/>
      <c r="F28" s="343">
        <f>E25*'Исходные данные общие'!D31</f>
        <v>0</v>
      </c>
      <c r="G28" s="343">
        <f t="shared" si="21"/>
        <v>0</v>
      </c>
      <c r="H28" s="343">
        <f t="shared" si="22"/>
        <v>0</v>
      </c>
      <c r="I28" s="343">
        <f t="shared" si="23"/>
        <v>0</v>
      </c>
      <c r="J28" s="343">
        <f t="shared" si="24"/>
        <v>0</v>
      </c>
      <c r="K28" s="343">
        <f t="shared" si="25"/>
        <v>0</v>
      </c>
      <c r="L28" s="343">
        <f t="shared" si="26"/>
        <v>0</v>
      </c>
      <c r="M28" s="343">
        <f t="shared" si="27"/>
        <v>0</v>
      </c>
      <c r="N28" s="343">
        <f t="shared" si="28"/>
        <v>0</v>
      </c>
      <c r="O28" s="343">
        <f t="shared" si="29"/>
        <v>0</v>
      </c>
      <c r="P28" s="343">
        <f t="shared" si="30"/>
        <v>0</v>
      </c>
      <c r="Q28" s="343">
        <f t="shared" si="31"/>
        <v>0</v>
      </c>
      <c r="R28" s="343">
        <f t="shared" si="32"/>
        <v>0</v>
      </c>
      <c r="S28" s="343">
        <f t="shared" si="33"/>
        <v>0</v>
      </c>
      <c r="T28" s="343">
        <f t="shared" si="34"/>
        <v>0</v>
      </c>
    </row>
    <row r="29" spans="1:20" x14ac:dyDescent="0.25">
      <c r="B29" s="20">
        <v>2019</v>
      </c>
      <c r="C29" s="343"/>
      <c r="D29" s="343"/>
      <c r="E29" s="343"/>
      <c r="F29" s="343"/>
      <c r="G29" s="343">
        <f>F25*'Исходные данные общие'!E32</f>
        <v>0</v>
      </c>
      <c r="H29" s="343">
        <f t="shared" si="22"/>
        <v>0</v>
      </c>
      <c r="I29" s="343">
        <f t="shared" si="23"/>
        <v>0</v>
      </c>
      <c r="J29" s="343">
        <f t="shared" si="24"/>
        <v>0</v>
      </c>
      <c r="K29" s="343">
        <f t="shared" si="25"/>
        <v>0</v>
      </c>
      <c r="L29" s="343">
        <f t="shared" si="26"/>
        <v>0</v>
      </c>
      <c r="M29" s="343">
        <f t="shared" si="27"/>
        <v>0</v>
      </c>
      <c r="N29" s="343">
        <f t="shared" si="28"/>
        <v>0</v>
      </c>
      <c r="O29" s="343">
        <f t="shared" si="29"/>
        <v>0</v>
      </c>
      <c r="P29" s="343">
        <f t="shared" si="30"/>
        <v>0</v>
      </c>
      <c r="Q29" s="343">
        <f t="shared" si="31"/>
        <v>0</v>
      </c>
      <c r="R29" s="343">
        <f t="shared" si="32"/>
        <v>0</v>
      </c>
      <c r="S29" s="343">
        <f t="shared" si="33"/>
        <v>0</v>
      </c>
      <c r="T29" s="343">
        <f t="shared" si="34"/>
        <v>0</v>
      </c>
    </row>
    <row r="30" spans="1:20" x14ac:dyDescent="0.25">
      <c r="B30" s="20">
        <v>2020</v>
      </c>
      <c r="C30" s="343"/>
      <c r="D30" s="343"/>
      <c r="E30" s="343"/>
      <c r="F30" s="343"/>
      <c r="G30" s="343"/>
      <c r="H30" s="343">
        <f>H25*'Исходные данные общие'!F33</f>
        <v>0</v>
      </c>
      <c r="I30" s="343">
        <f t="shared" si="23"/>
        <v>0</v>
      </c>
      <c r="J30" s="343">
        <f t="shared" si="24"/>
        <v>0</v>
      </c>
      <c r="K30" s="343">
        <f t="shared" si="25"/>
        <v>0</v>
      </c>
      <c r="L30" s="343">
        <f t="shared" si="26"/>
        <v>0</v>
      </c>
      <c r="M30" s="343">
        <f t="shared" si="27"/>
        <v>0</v>
      </c>
      <c r="N30" s="343">
        <f t="shared" si="28"/>
        <v>0</v>
      </c>
      <c r="O30" s="343">
        <f t="shared" si="29"/>
        <v>0</v>
      </c>
      <c r="P30" s="343">
        <f t="shared" si="30"/>
        <v>0</v>
      </c>
      <c r="Q30" s="343">
        <f t="shared" si="31"/>
        <v>0</v>
      </c>
      <c r="R30" s="343">
        <f t="shared" si="32"/>
        <v>0</v>
      </c>
      <c r="S30" s="343">
        <f t="shared" si="33"/>
        <v>0</v>
      </c>
      <c r="T30" s="343">
        <f t="shared" si="34"/>
        <v>0</v>
      </c>
    </row>
    <row r="31" spans="1:20" x14ac:dyDescent="0.25">
      <c r="B31" s="20">
        <v>2021</v>
      </c>
      <c r="C31" s="343"/>
      <c r="D31" s="343"/>
      <c r="E31" s="343"/>
      <c r="F31" s="343"/>
      <c r="G31" s="343"/>
      <c r="H31" s="343"/>
      <c r="I31" s="343">
        <f>H25/30</f>
        <v>0</v>
      </c>
      <c r="J31" s="343">
        <f t="shared" si="24"/>
        <v>0</v>
      </c>
      <c r="K31" s="343">
        <f t="shared" si="25"/>
        <v>0</v>
      </c>
      <c r="L31" s="343">
        <f t="shared" si="26"/>
        <v>0</v>
      </c>
      <c r="M31" s="343">
        <f t="shared" si="27"/>
        <v>0</v>
      </c>
      <c r="N31" s="343">
        <f t="shared" si="28"/>
        <v>0</v>
      </c>
      <c r="O31" s="343">
        <f t="shared" si="29"/>
        <v>0</v>
      </c>
      <c r="P31" s="343">
        <f t="shared" si="30"/>
        <v>0</v>
      </c>
      <c r="Q31" s="343">
        <f t="shared" si="31"/>
        <v>0</v>
      </c>
      <c r="R31" s="343">
        <f t="shared" si="32"/>
        <v>0</v>
      </c>
      <c r="S31" s="343">
        <f t="shared" si="33"/>
        <v>0</v>
      </c>
      <c r="T31" s="343">
        <f t="shared" si="34"/>
        <v>0</v>
      </c>
    </row>
    <row r="32" spans="1:20" x14ac:dyDescent="0.25">
      <c r="B32" s="20" t="s">
        <v>46</v>
      </c>
      <c r="C32" s="346">
        <f t="shared" ref="C32:T32" si="35">SUM(C26:C31)</f>
        <v>6329.1139240506327</v>
      </c>
      <c r="D32" s="346">
        <f t="shared" si="35"/>
        <v>6329.1139240506327</v>
      </c>
      <c r="E32" s="346">
        <f>SUM(E26:E31)</f>
        <v>6608.774940999785</v>
      </c>
      <c r="F32" s="346">
        <f t="shared" si="35"/>
        <v>6608.774940999785</v>
      </c>
      <c r="G32" s="346">
        <f t="shared" si="35"/>
        <v>6608.774940999785</v>
      </c>
      <c r="H32" s="346">
        <f t="shared" si="35"/>
        <v>6608.774940999785</v>
      </c>
      <c r="I32" s="346">
        <f t="shared" si="35"/>
        <v>6608.774940999785</v>
      </c>
      <c r="J32" s="346">
        <f t="shared" si="35"/>
        <v>6608.774940999785</v>
      </c>
      <c r="K32" s="346">
        <f t="shared" si="35"/>
        <v>6608.774940999785</v>
      </c>
      <c r="L32" s="346">
        <f t="shared" si="35"/>
        <v>6608.774940999785</v>
      </c>
      <c r="M32" s="346">
        <f t="shared" si="35"/>
        <v>279.66101694915255</v>
      </c>
      <c r="N32" s="346">
        <f t="shared" si="35"/>
        <v>279.66101694915255</v>
      </c>
      <c r="O32" s="346">
        <f t="shared" si="35"/>
        <v>279.66101694915255</v>
      </c>
      <c r="P32" s="346">
        <f t="shared" si="35"/>
        <v>279.66101694915255</v>
      </c>
      <c r="Q32" s="346">
        <f t="shared" si="35"/>
        <v>279.66101694915255</v>
      </c>
      <c r="R32" s="346">
        <f t="shared" si="35"/>
        <v>279.66101694915255</v>
      </c>
      <c r="S32" s="346">
        <f t="shared" si="35"/>
        <v>279.66101694915255</v>
      </c>
      <c r="T32" s="346">
        <f t="shared" si="35"/>
        <v>279.66101694915255</v>
      </c>
    </row>
  </sheetData>
  <pageMargins left="0.75" right="0.75" top="1" bottom="1" header="0.5" footer="0.5"/>
  <pageSetup paperSize="9" scale="68" fitToHeight="0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59999389629810485"/>
    <pageSetUpPr fitToPage="1"/>
  </sheetPr>
  <dimension ref="A1:T26"/>
  <sheetViews>
    <sheetView workbookViewId="0">
      <selection activeCell="B1" sqref="B1:T1048576"/>
    </sheetView>
  </sheetViews>
  <sheetFormatPr defaultColWidth="8.85546875" defaultRowHeight="15" x14ac:dyDescent="0.25"/>
  <cols>
    <col min="1" max="1" width="24.85546875" style="56" customWidth="1"/>
    <col min="2" max="20" width="8.7109375" style="189" customWidth="1"/>
  </cols>
  <sheetData>
    <row r="1" spans="1:20" x14ac:dyDescent="0.25">
      <c r="B1" s="189">
        <f>IF('Исходные данные тепло'!$B$182&gt;='Кредит тепло'!B3,'Кредит тепло'!B3,0)</f>
        <v>0</v>
      </c>
      <c r="C1" s="189">
        <f>IF('Исходные данные тепло'!$B$182&gt;='Кредит тепло'!C3,'Кредит тепло'!C3,0)</f>
        <v>0</v>
      </c>
      <c r="D1" s="189">
        <f>IF('Исходные данные тепло'!$B$182&gt;='Кредит тепло'!D3,'Кредит тепло'!D3,0)</f>
        <v>0</v>
      </c>
      <c r="E1" s="189">
        <f>IF('Исходные данные тепло'!$B$182&gt;='Кредит тепло'!E3,'Кредит тепло'!E3,0)</f>
        <v>0</v>
      </c>
      <c r="F1" s="189">
        <f>IF('Исходные данные тепло'!$B$182&gt;='Кредит тепло'!F3,'Кредит тепло'!F3,0)</f>
        <v>0</v>
      </c>
      <c r="G1" s="189">
        <f>IF('Исходные данные тепло'!$B$182&gt;='Кредит тепло'!G3,'Кредит тепло'!G3,0)</f>
        <v>0</v>
      </c>
      <c r="H1" s="189">
        <f>IF('Исходные данные тепло'!$B$182&gt;='Кредит тепло'!H3,'Кредит тепло'!H3,0)</f>
        <v>0</v>
      </c>
      <c r="I1" s="189">
        <f>IF('Исходные данные тепло'!$B$182&gt;='Кредит тепло'!I3,'Кредит тепло'!I3,0)</f>
        <v>0</v>
      </c>
      <c r="J1" s="189">
        <f>IF('Исходные данные тепло'!$B$182&gt;='Кредит тепло'!J3,'Кредит тепло'!J3,0)</f>
        <v>0</v>
      </c>
      <c r="K1" s="189">
        <f>IF('Исходные данные тепло'!$B$182&gt;='Кредит тепло'!K3,'Кредит тепло'!K3,0)</f>
        <v>0</v>
      </c>
      <c r="L1" s="189">
        <f>IF('Исходные данные тепло'!$B$182&gt;='Кредит тепло'!L3,'Кредит тепло'!L3,0)</f>
        <v>0</v>
      </c>
      <c r="M1" s="189">
        <f>IF('Исходные данные тепло'!$B$182&gt;='Кредит тепло'!M3,'Кредит тепло'!M3,0)</f>
        <v>0</v>
      </c>
      <c r="N1" s="189">
        <f>IF('Исходные данные тепло'!$B$182&gt;='Кредит тепло'!N3,'Кредит тепло'!N3,0)</f>
        <v>0</v>
      </c>
      <c r="O1" s="189">
        <f>IF('Исходные данные тепло'!$B$182&gt;='Кредит тепло'!O3,'Кредит тепло'!O3,0)</f>
        <v>0</v>
      </c>
      <c r="P1" s="189">
        <f>IF('Исходные данные тепло'!$B$182&gt;='Кредит тепло'!P3,'Кредит тепло'!P3,0)</f>
        <v>0</v>
      </c>
      <c r="Q1" s="189">
        <f>IF('Исходные данные тепло'!$B$182&gt;='Кредит тепло'!Q3,'Кредит тепло'!Q3,0)</f>
        <v>0</v>
      </c>
      <c r="R1" s="189">
        <f>IF('Исходные данные тепло'!$B$182&gt;='Кредит тепло'!R3,'Кредит тепло'!R3,0)</f>
        <v>0</v>
      </c>
      <c r="S1" s="189">
        <f>IF('Исходные данные тепло'!$B$182&gt;'Кредит тепло'!S3,'Кредит тепло'!S3,0)</f>
        <v>0</v>
      </c>
    </row>
    <row r="2" spans="1:20" ht="15.75" thickBot="1" x14ac:dyDescent="0.3">
      <c r="B2" s="189">
        <f>IF('Исходные данные тепло'!$B$184&gt;='Кредит тепло'!B3,'Кредит тепло'!B3,0)</f>
        <v>1</v>
      </c>
      <c r="C2" s="189">
        <f>IF('Исходные данные тепло'!$B$184&gt;='Кредит тепло'!C3,'Кредит тепло'!C3,0)</f>
        <v>2</v>
      </c>
      <c r="D2" s="189">
        <f>IF('Исходные данные тепло'!$B$184&gt;='Кредит тепло'!D3,'Кредит тепло'!D3,0)</f>
        <v>3</v>
      </c>
      <c r="E2" s="189">
        <f>IF('Исходные данные тепло'!$B$184&gt;='Кредит тепло'!E3,'Кредит тепло'!E3,0)</f>
        <v>4</v>
      </c>
      <c r="F2" s="189">
        <f>IF('Исходные данные тепло'!$B$184&gt;='Кредит тепло'!F3,'Кредит тепло'!F3,0)</f>
        <v>5</v>
      </c>
      <c r="G2" s="189">
        <f>IF('Исходные данные тепло'!$B$184&gt;='Кредит тепло'!G3,'Кредит тепло'!G3,0)</f>
        <v>6</v>
      </c>
      <c r="H2" s="189">
        <f>IF('Исходные данные тепло'!$B$184&gt;='Кредит тепло'!H3,'Кредит тепло'!H3,0)</f>
        <v>7</v>
      </c>
      <c r="I2" s="189">
        <f>IF('Исходные данные тепло'!$B$184&gt;='Кредит тепло'!I3,'Кредит тепло'!I3,0)</f>
        <v>8</v>
      </c>
      <c r="J2" s="189">
        <f>IF('Исходные данные тепло'!$B$184&gt;='Кредит тепло'!J3,'Кредит тепло'!J3,0)</f>
        <v>9</v>
      </c>
      <c r="K2" s="189">
        <f>IF('Исходные данные тепло'!$B$184&gt;='Кредит тепло'!K3,'Кредит тепло'!K3,0)</f>
        <v>10</v>
      </c>
      <c r="L2" s="189">
        <f>IF('Исходные данные тепло'!$B$184&gt;='Кредит тепло'!L3,'Кредит тепло'!L3,0)</f>
        <v>11</v>
      </c>
      <c r="M2" s="189">
        <f>IF('Исходные данные тепло'!$B$184&gt;='Кредит тепло'!M3,'Кредит тепло'!M3,0)</f>
        <v>0</v>
      </c>
      <c r="N2" s="189">
        <f>IF('Исходные данные тепло'!$B$184&gt;='Кредит тепло'!N3,'Кредит тепло'!N3,0)</f>
        <v>0</v>
      </c>
      <c r="O2" s="189">
        <f>IF('Исходные данные тепло'!$B$184&gt;='Кредит тепло'!O3,'Кредит тепло'!O3,0)</f>
        <v>0</v>
      </c>
      <c r="P2" s="189">
        <f>IF([1]Параметры!$B$20&gt;'[1]Финансовый результат'!O3,'[1]Финансовый результат'!P3,0)</f>
        <v>0</v>
      </c>
    </row>
    <row r="3" spans="1:20" x14ac:dyDescent="0.25">
      <c r="A3" s="57"/>
      <c r="B3" s="350">
        <v>1</v>
      </c>
      <c r="C3" s="350">
        <v>2</v>
      </c>
      <c r="D3" s="350">
        <v>3</v>
      </c>
      <c r="E3" s="350">
        <v>4</v>
      </c>
      <c r="F3" s="350">
        <v>5</v>
      </c>
      <c r="G3" s="350">
        <v>6</v>
      </c>
      <c r="H3" s="350">
        <v>7</v>
      </c>
      <c r="I3" s="350">
        <v>8</v>
      </c>
      <c r="J3" s="350">
        <v>9</v>
      </c>
      <c r="K3" s="350">
        <v>10</v>
      </c>
      <c r="L3" s="350">
        <v>11</v>
      </c>
      <c r="M3" s="350">
        <v>12</v>
      </c>
      <c r="N3" s="350">
        <v>13</v>
      </c>
      <c r="O3" s="350">
        <v>14</v>
      </c>
      <c r="P3" s="350">
        <v>15</v>
      </c>
      <c r="Q3" s="350">
        <v>16</v>
      </c>
      <c r="R3" s="350">
        <v>17</v>
      </c>
      <c r="S3" s="350">
        <v>18</v>
      </c>
      <c r="T3" s="351">
        <v>19</v>
      </c>
    </row>
    <row r="4" spans="1:20" s="45" customFormat="1" x14ac:dyDescent="0.25">
      <c r="A4" s="63"/>
      <c r="B4" s="352">
        <v>2016</v>
      </c>
      <c r="C4" s="352">
        <v>2017</v>
      </c>
      <c r="D4" s="352">
        <v>2018</v>
      </c>
      <c r="E4" s="352">
        <v>2019</v>
      </c>
      <c r="F4" s="352">
        <v>2020</v>
      </c>
      <c r="G4" s="352">
        <v>2021</v>
      </c>
      <c r="H4" s="352">
        <v>2022</v>
      </c>
      <c r="I4" s="352">
        <v>2023</v>
      </c>
      <c r="J4" s="352">
        <v>2024</v>
      </c>
      <c r="K4" s="352">
        <v>2025</v>
      </c>
      <c r="L4" s="352">
        <v>2026</v>
      </c>
      <c r="M4" s="352">
        <v>2027</v>
      </c>
      <c r="N4" s="352">
        <v>2028</v>
      </c>
      <c r="O4" s="352">
        <v>2029</v>
      </c>
      <c r="P4" s="352">
        <v>2030</v>
      </c>
      <c r="Q4" s="352">
        <v>2031</v>
      </c>
      <c r="R4" s="353">
        <v>2032</v>
      </c>
      <c r="S4" s="353">
        <v>2033</v>
      </c>
      <c r="T4" s="354">
        <v>2034</v>
      </c>
    </row>
    <row r="5" spans="1:20" s="45" customFormat="1" x14ac:dyDescent="0.25">
      <c r="A5" s="64"/>
      <c r="B5" s="265"/>
      <c r="C5" s="265"/>
      <c r="D5" s="265"/>
      <c r="E5" s="265"/>
      <c r="F5" s="265" t="s">
        <v>77</v>
      </c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</row>
    <row r="6" spans="1:20" s="45" customFormat="1" x14ac:dyDescent="0.25">
      <c r="A6" s="63" t="s">
        <v>89</v>
      </c>
      <c r="B6" s="355">
        <f>(B13*'Исходные данные тепло'!$B$138)/2</f>
        <v>0</v>
      </c>
      <c r="C6" s="355">
        <f>(B16-C19+C16/2)*'Исходные данные тепло'!$B$138</f>
        <v>0</v>
      </c>
      <c r="D6" s="355">
        <f>(C16-D19/2+D16/2)*'Исходные данные тепло'!$B$138</f>
        <v>0</v>
      </c>
      <c r="E6" s="355">
        <f>(D16-E19/2+E16/2)*'Исходные данные тепло'!$B$138</f>
        <v>0</v>
      </c>
      <c r="F6" s="355">
        <f>(E16-F19/2+F16/2)*'Исходные данные тепло'!$B$138</f>
        <v>0</v>
      </c>
      <c r="G6" s="355">
        <f>(F16-G19/2+G16/2)*'Исходные данные тепло'!$B$138</f>
        <v>0</v>
      </c>
      <c r="H6" s="355">
        <f>(G16-H19/2+H16/2)*'Исходные данные тепло'!$B$138</f>
        <v>0</v>
      </c>
      <c r="I6" s="355">
        <f>(H16-I19/2+I16/2)*'Исходные данные тепло'!$B$138</f>
        <v>0</v>
      </c>
      <c r="J6" s="355">
        <f>(I16-J19/2+J16/2)*'Исходные данные тепло'!$B$138</f>
        <v>0</v>
      </c>
      <c r="K6" s="355">
        <f>(J16-K19/2+K16/2)*'Исходные данные тепло'!$B$138</f>
        <v>0</v>
      </c>
      <c r="L6" s="355">
        <f>(K16-L19/2+L16/2)*'Исходные данные тепло'!$B$138</f>
        <v>0</v>
      </c>
      <c r="M6" s="355">
        <f>(L16-M19/2+M16/2)*'Исходные данные тепло'!$B$138</f>
        <v>0</v>
      </c>
      <c r="N6" s="355">
        <f>(M16-N19/2+N16/2)*'Исходные данные тепло'!$B$138</f>
        <v>0</v>
      </c>
      <c r="O6" s="355">
        <f>(N16-O19/2+O16/2)*'Исходные данные тепло'!$B$138</f>
        <v>0</v>
      </c>
      <c r="P6" s="355">
        <f>(O16-P19/2+P16/2)*'Исходные данные тепло'!$B$138</f>
        <v>0</v>
      </c>
      <c r="Q6" s="355">
        <f>(P16-Q19/2+Q16/2)*'Исходные данные тепло'!$B$138</f>
        <v>0</v>
      </c>
      <c r="R6" s="356"/>
      <c r="S6" s="356"/>
      <c r="T6" s="357"/>
    </row>
    <row r="7" spans="1:20" s="45" customFormat="1" x14ac:dyDescent="0.25">
      <c r="A7" s="63" t="s">
        <v>90</v>
      </c>
      <c r="B7" s="355">
        <f>(B12*'Исходные данные тепло'!$B$137)/2</f>
        <v>849.99999999999989</v>
      </c>
      <c r="C7" s="355">
        <f>(B17-C20+C17/2)*'Исходные данные тепло'!$B$137</f>
        <v>2295</v>
      </c>
      <c r="D7" s="355">
        <f>(C17-D20/2+D17/2)*'Исходные данные тепло'!$B$137</f>
        <v>2125</v>
      </c>
      <c r="E7" s="355">
        <f>(D17-E20/2+E17/2)*'Исходные данные тепло'!$B$137</f>
        <v>1869.9999999999998</v>
      </c>
      <c r="F7" s="355">
        <f>(E17-F20/2+F17/2)*'Исходные данные тепло'!$B$137</f>
        <v>1614.9999999999998</v>
      </c>
      <c r="G7" s="355">
        <f>(F17-G20/2+G17/2)*'Исходные данные тепло'!$B$137</f>
        <v>1359.9999999999998</v>
      </c>
      <c r="H7" s="355">
        <f>(G17-H20/2+H17/2)*'Исходные данные тепло'!$B$137</f>
        <v>1105</v>
      </c>
      <c r="I7" s="355">
        <f>(H17-I20/2+I17/2)*'Исходные данные тепло'!$B$137</f>
        <v>849.99999999999989</v>
      </c>
      <c r="J7" s="355">
        <f>(I17-J20/2+J17/2)*'Исходные данные тепло'!$B$137</f>
        <v>595</v>
      </c>
      <c r="K7" s="355">
        <f>(J17-K20/2+K17/2)*'Исходные данные тепло'!$B$137</f>
        <v>339.99999999999994</v>
      </c>
      <c r="L7" s="355"/>
      <c r="M7" s="355"/>
      <c r="N7" s="355"/>
      <c r="O7" s="355"/>
      <c r="P7" s="355"/>
      <c r="Q7" s="356"/>
      <c r="R7" s="356"/>
      <c r="S7" s="356"/>
      <c r="T7" s="357"/>
    </row>
    <row r="8" spans="1:20" s="45" customFormat="1" x14ac:dyDescent="0.25">
      <c r="A8" s="63" t="s">
        <v>78</v>
      </c>
      <c r="B8" s="355">
        <f>'Расчет тарифа тепло'!E88+'Расчет тарифа тепло'!E89</f>
        <v>10000</v>
      </c>
      <c r="C8" s="355">
        <f>'Расчет тарифа тепло'!F88+'Расчет тарифа тепло'!F89</f>
        <v>0</v>
      </c>
      <c r="D8" s="355">
        <f>'Расчет тарифа тепло'!G88+'Расчет тарифа тепло'!G89</f>
        <v>0</v>
      </c>
      <c r="E8" s="355">
        <f>'Расчет тарифа тепло'!H88+'Расчет тарифа тепло'!H89</f>
        <v>0</v>
      </c>
      <c r="F8" s="355">
        <f>'Расчет тарифа тепло'!I88+'Расчет тарифа тепло'!I89</f>
        <v>0</v>
      </c>
      <c r="G8" s="355">
        <f>'Расчет тарифа тепло'!J88+'Расчет тарифа тепло'!J89</f>
        <v>0</v>
      </c>
      <c r="H8" s="355">
        <f>'Расчет тарифа тепло'!K88+'Расчет тарифа тепло'!K89</f>
        <v>0</v>
      </c>
      <c r="I8" s="355">
        <f>'Расчет тарифа тепло'!L88+'Расчет тарифа тепло'!L89</f>
        <v>0</v>
      </c>
      <c r="J8" s="355">
        <f>'Расчет тарифа тепло'!M88+'Расчет тарифа тепло'!M89</f>
        <v>0</v>
      </c>
      <c r="K8" s="355">
        <f>'[1]Исходные данные'!L3-'[1]Исходные данные'!L4</f>
        <v>0</v>
      </c>
      <c r="L8" s="355">
        <f>'[1]Исходные данные'!M3-'[1]Исходные данные'!M4</f>
        <v>0</v>
      </c>
      <c r="M8" s="355">
        <f>'[1]Исходные данные'!N3-'[1]Исходные данные'!N4</f>
        <v>0</v>
      </c>
      <c r="N8" s="355">
        <f>'[1]Исходные данные'!O3-'[1]Исходные данные'!O4</f>
        <v>0</v>
      </c>
      <c r="O8" s="355">
        <f>'[1]Исходные данные'!P3-'[1]Исходные данные'!P4</f>
        <v>0</v>
      </c>
      <c r="P8" s="355">
        <f>'[1]Исходные данные'!Q3-'[1]Исходные данные'!Q4</f>
        <v>0</v>
      </c>
      <c r="Q8" s="355">
        <f>'[1]Исходные данные'!R3-'[1]Исходные данные'!R4</f>
        <v>0</v>
      </c>
      <c r="R8" s="355">
        <f>'[1]Исходные данные'!S3-'[1]Исходные данные'!S4</f>
        <v>0</v>
      </c>
      <c r="S8" s="355">
        <f>'[1]Исходные данные'!T3-'[1]Исходные данные'!T4</f>
        <v>0</v>
      </c>
      <c r="T8" s="357"/>
    </row>
    <row r="11" spans="1:20" ht="15.75" x14ac:dyDescent="0.25">
      <c r="A11" s="59" t="s">
        <v>80</v>
      </c>
    </row>
    <row r="12" spans="1:20" x14ac:dyDescent="0.25">
      <c r="A12" s="58" t="s">
        <v>81</v>
      </c>
      <c r="B12" s="358">
        <f>'Расчет тарифа тепло'!E88</f>
        <v>10000</v>
      </c>
      <c r="C12" s="358">
        <f>'Расчет тарифа тепло'!F88</f>
        <v>0</v>
      </c>
      <c r="D12" s="358">
        <f>'Расчет тарифа тепло'!G88</f>
        <v>0</v>
      </c>
      <c r="E12" s="358">
        <f>'Расчет тарифа тепло'!H88</f>
        <v>0</v>
      </c>
      <c r="F12" s="358">
        <f>'Расчет тарифа тепло'!I88</f>
        <v>0</v>
      </c>
      <c r="G12" s="358">
        <f>'Расчет тарифа тепло'!J88</f>
        <v>0</v>
      </c>
      <c r="H12" s="358">
        <f>'Расчет тарифа тепло'!K88</f>
        <v>0</v>
      </c>
      <c r="I12" s="358">
        <f>'Расчет тарифа тепло'!L88</f>
        <v>0</v>
      </c>
      <c r="J12" s="358">
        <f>'[1]Финансовый результат'!J17*[1]Параметры!$B$10</f>
        <v>0</v>
      </c>
      <c r="K12" s="358">
        <f>'[1]Финансовый результат'!K17*[1]Параметры!$B$10</f>
        <v>0</v>
      </c>
      <c r="L12" s="358">
        <f>'[1]Финансовый результат'!L17*[1]Параметры!$B$10</f>
        <v>0</v>
      </c>
      <c r="M12" s="358">
        <f>'[1]Финансовый результат'!M17*[1]Параметры!$B$10</f>
        <v>0</v>
      </c>
      <c r="N12" s="358">
        <f>'[1]Финансовый результат'!N17*[1]Параметры!$B$10</f>
        <v>0</v>
      </c>
      <c r="O12" s="358">
        <f>'[1]Финансовый результат'!O17*[1]Параметры!$B$10</f>
        <v>0</v>
      </c>
      <c r="P12" s="358">
        <f>'[1]Финансовый результат'!P17*[1]Параметры!$B$10</f>
        <v>0</v>
      </c>
      <c r="Q12" s="358">
        <f>'[1]Финансовый результат'!Q17*[1]Параметры!$B$10</f>
        <v>0</v>
      </c>
      <c r="R12" s="358">
        <f>'[1]Финансовый результат'!R17*[1]Параметры!$B$10</f>
        <v>0</v>
      </c>
      <c r="S12" s="358">
        <f>'[1]Финансовый результат'!S17*[1]Параметры!$B$10</f>
        <v>0</v>
      </c>
      <c r="T12" s="359"/>
    </row>
    <row r="13" spans="1:20" x14ac:dyDescent="0.25">
      <c r="A13" s="58" t="s">
        <v>82</v>
      </c>
      <c r="B13" s="358">
        <f>'Расчет тарифа тепло'!E89</f>
        <v>0</v>
      </c>
      <c r="C13" s="358">
        <f>'Расчет тарифа тепло'!F89</f>
        <v>0</v>
      </c>
      <c r="D13" s="358">
        <f>'Расчет тарифа тепло'!G89</f>
        <v>0</v>
      </c>
      <c r="E13" s="358">
        <f>'Расчет тарифа тепло'!H89</f>
        <v>0</v>
      </c>
      <c r="F13" s="358">
        <f>'Расчет тарифа тепло'!I89</f>
        <v>0</v>
      </c>
      <c r="G13" s="358">
        <f>'Расчет тарифа тепло'!J89</f>
        <v>0</v>
      </c>
      <c r="H13" s="358">
        <f>'Расчет тарифа тепло'!K89</f>
        <v>0</v>
      </c>
      <c r="I13" s="358">
        <f>'Расчет тарифа тепло'!L89</f>
        <v>0</v>
      </c>
      <c r="J13" s="358">
        <f>'[1]Финансовый результат'!J17*[1]Параметры!$B$9</f>
        <v>0</v>
      </c>
      <c r="K13" s="358">
        <f>'[1]Финансовый результат'!K17*[1]Параметры!$B$9</f>
        <v>0</v>
      </c>
      <c r="L13" s="358">
        <f>'[1]Финансовый результат'!L17*[1]Параметры!$B$9</f>
        <v>0</v>
      </c>
      <c r="M13" s="358">
        <f>'[1]Финансовый результат'!M17*[1]Параметры!$B$9</f>
        <v>0</v>
      </c>
      <c r="N13" s="358">
        <f>'[1]Финансовый результат'!N17*[1]Параметры!$B$9</f>
        <v>0</v>
      </c>
      <c r="O13" s="358">
        <f>'[1]Финансовый результат'!O17*[1]Параметры!$B$9</f>
        <v>0</v>
      </c>
      <c r="P13" s="358">
        <f>'[1]Финансовый результат'!P17*[1]Параметры!$B$9</f>
        <v>0</v>
      </c>
      <c r="Q13" s="358">
        <f>'[1]Финансовый результат'!Q17*[1]Параметры!$B$9</f>
        <v>0</v>
      </c>
      <c r="R13" s="358">
        <f>'[1]Финансовый результат'!R17*[1]Параметры!$B$9</f>
        <v>0</v>
      </c>
      <c r="S13" s="358">
        <f>'[1]Финансовый результат'!S17*[1]Параметры!$B$9</f>
        <v>0</v>
      </c>
      <c r="T13" s="359"/>
    </row>
    <row r="14" spans="1:20" ht="30" x14ac:dyDescent="0.25">
      <c r="A14" s="58" t="s">
        <v>91</v>
      </c>
      <c r="B14" s="358">
        <f t="shared" ref="B14:S14" si="0">SUM(B12:B13)</f>
        <v>10000</v>
      </c>
      <c r="C14" s="358">
        <f t="shared" si="0"/>
        <v>0</v>
      </c>
      <c r="D14" s="358">
        <f t="shared" si="0"/>
        <v>0</v>
      </c>
      <c r="E14" s="358">
        <f t="shared" si="0"/>
        <v>0</v>
      </c>
      <c r="F14" s="358">
        <f t="shared" si="0"/>
        <v>0</v>
      </c>
      <c r="G14" s="358">
        <f t="shared" si="0"/>
        <v>0</v>
      </c>
      <c r="H14" s="358">
        <f t="shared" si="0"/>
        <v>0</v>
      </c>
      <c r="I14" s="358">
        <f t="shared" si="0"/>
        <v>0</v>
      </c>
      <c r="J14" s="358">
        <f t="shared" si="0"/>
        <v>0</v>
      </c>
      <c r="K14" s="358">
        <f t="shared" si="0"/>
        <v>0</v>
      </c>
      <c r="L14" s="358">
        <f t="shared" si="0"/>
        <v>0</v>
      </c>
      <c r="M14" s="358">
        <f t="shared" si="0"/>
        <v>0</v>
      </c>
      <c r="N14" s="358">
        <f t="shared" si="0"/>
        <v>0</v>
      </c>
      <c r="O14" s="358">
        <f t="shared" si="0"/>
        <v>0</v>
      </c>
      <c r="P14" s="358">
        <f t="shared" si="0"/>
        <v>0</v>
      </c>
      <c r="Q14" s="358">
        <f t="shared" si="0"/>
        <v>0</v>
      </c>
      <c r="R14" s="358">
        <f t="shared" si="0"/>
        <v>0</v>
      </c>
      <c r="S14" s="358">
        <f t="shared" si="0"/>
        <v>0</v>
      </c>
      <c r="T14" s="359"/>
    </row>
    <row r="15" spans="1:20" s="61" customFormat="1" ht="30" x14ac:dyDescent="0.25">
      <c r="A15" s="60" t="s">
        <v>83</v>
      </c>
      <c r="B15" s="360"/>
      <c r="C15" s="360">
        <f>SUM($B$8:C8)-SUM($B$19:C19)-SUM($B$20:C20)</f>
        <v>9000</v>
      </c>
      <c r="D15" s="360">
        <f>SUM($B$8:D8)-SUM($B$19:D19)-SUM($B$20:D20)</f>
        <v>8000</v>
      </c>
      <c r="E15" s="360">
        <f>SUM($B$8:E8)-SUM($B$19:E19)-SUM($B$20:E20)</f>
        <v>7000</v>
      </c>
      <c r="F15" s="360">
        <f>SUM($B$8:F8)-SUM($B$19:F19)-SUM($B$20:F20)</f>
        <v>6000</v>
      </c>
      <c r="G15" s="360">
        <f>SUM($B$8:G8)-SUM($B$19:G19)-SUM($B$20:G20)</f>
        <v>5000</v>
      </c>
      <c r="H15" s="360">
        <f>SUM($B$8:H8)-SUM($B$19:H19)-SUM($B$20:H20)</f>
        <v>4000</v>
      </c>
      <c r="I15" s="360">
        <f>SUM($B$8:I8)-SUM($B$19:I19)-SUM($B$20:I20)</f>
        <v>3000</v>
      </c>
      <c r="J15" s="360">
        <f>SUM($B$8:J8)-SUM($B$19:J19)-SUM($B$20:J20)</f>
        <v>2000</v>
      </c>
      <c r="K15" s="360">
        <f>SUM($B$8:K8)-SUM($B$19:K19)-SUM($B$20:K20)</f>
        <v>1000</v>
      </c>
      <c r="L15" s="360">
        <f>SUM($B$8:L8)-SUM($B$19:L19)-SUM($B$20:L20)</f>
        <v>0</v>
      </c>
      <c r="M15" s="360">
        <f>SUM($B$8:M8)-SUM($B$19:M19)-SUM($B$20:M20)</f>
        <v>0</v>
      </c>
      <c r="N15" s="360">
        <f>SUM($B$8:N8)-SUM($B$19:N19)-SUM($B$20:N20)</f>
        <v>0</v>
      </c>
      <c r="O15" s="360">
        <f>SUM($B$8:O8)-SUM($B$19:O19)-SUM($B$20:O20)</f>
        <v>0</v>
      </c>
      <c r="P15" s="360">
        <f>SUM($B$8:P8)-SUM($B$19:P19)-SUM($B$20:P20)</f>
        <v>0</v>
      </c>
      <c r="Q15" s="360">
        <f>SUM($B$8:Q8)-SUM($B$19:Q19)-SUM($B$20:Q20)</f>
        <v>0</v>
      </c>
      <c r="R15" s="360">
        <f>SUM($B$8:R8)-SUM($B$19:R19)-SUM($B$20:R20)</f>
        <v>0</v>
      </c>
      <c r="S15" s="360">
        <f>SUM($B$8:S8)-SUM($B$19:S19)-SUM($B$20:S20)</f>
        <v>0</v>
      </c>
      <c r="T15" s="361"/>
    </row>
    <row r="16" spans="1:20" s="61" customFormat="1" ht="30" x14ac:dyDescent="0.25">
      <c r="A16" s="60" t="s">
        <v>84</v>
      </c>
      <c r="B16" s="360">
        <f>B13</f>
        <v>0</v>
      </c>
      <c r="C16" s="360">
        <f>SUM($B$13:C13)-SUM($B$19:C19)</f>
        <v>0</v>
      </c>
      <c r="D16" s="360">
        <f>SUM($B$13:D13)-SUM($B$19:D19)</f>
        <v>0</v>
      </c>
      <c r="E16" s="360">
        <f>SUM($B$13:E13)-SUM($B$19:E19)</f>
        <v>0</v>
      </c>
      <c r="F16" s="360">
        <f>SUM($B$13:F13)-SUM($B$19:F19)</f>
        <v>0</v>
      </c>
      <c r="G16" s="360">
        <f>SUM($B$13:G13)-SUM($B$19:G19)</f>
        <v>0</v>
      </c>
      <c r="H16" s="360">
        <f>SUM($B$13:H13)-SUM($B$19:H19)</f>
        <v>0</v>
      </c>
      <c r="I16" s="360">
        <f>SUM($B$13:I13)-SUM($B$19:I19)</f>
        <v>0</v>
      </c>
      <c r="J16" s="360">
        <f>SUM($B$13:J13)-SUM($B$19:J19)</f>
        <v>0</v>
      </c>
      <c r="K16" s="360">
        <f>SUM($B$13:K13)-SUM($B$19:K19)</f>
        <v>0</v>
      </c>
      <c r="L16" s="360">
        <f>SUM($B$13:L13)-SUM($B$19:L19)</f>
        <v>0</v>
      </c>
      <c r="M16" s="360">
        <f>SUM($B$13:M13)-SUM($B$19:M19)</f>
        <v>0</v>
      </c>
      <c r="N16" s="360">
        <f>SUM($B$13:N13)-SUM($B$19:N19)</f>
        <v>0</v>
      </c>
      <c r="O16" s="360">
        <f>SUM($B$13:O13)-SUM($B$19:O19)</f>
        <v>0</v>
      </c>
      <c r="P16" s="360">
        <f>SUM($B$13:P13)-SUM($B$19:P19)</f>
        <v>0</v>
      </c>
      <c r="Q16" s="360">
        <f>SUM($B$13:Q13)-SUM($B$19:Q19)</f>
        <v>0</v>
      </c>
      <c r="R16" s="360">
        <f>SUM($B$13:R13)-SUM($B$19:R19)</f>
        <v>0</v>
      </c>
      <c r="S16" s="360">
        <f>SUM($B$13:S13)-SUM($B$19:S19)</f>
        <v>0</v>
      </c>
      <c r="T16" s="361"/>
    </row>
    <row r="17" spans="1:20" s="61" customFormat="1" ht="30" x14ac:dyDescent="0.25">
      <c r="A17" s="60" t="s">
        <v>85</v>
      </c>
      <c r="B17" s="360">
        <f>B12</f>
        <v>10000</v>
      </c>
      <c r="C17" s="360">
        <f>SUM($B$12:C12)-SUM($B$20:C20)</f>
        <v>9000</v>
      </c>
      <c r="D17" s="360">
        <f>SUM($B$12:D12)-SUM($B$20:D20)</f>
        <v>8000</v>
      </c>
      <c r="E17" s="360">
        <f>SUM($B$12:E12)-SUM($B$20:E20)</f>
        <v>7000</v>
      </c>
      <c r="F17" s="360">
        <f>SUM($B$12:F12)-SUM($B$20:F20)</f>
        <v>6000</v>
      </c>
      <c r="G17" s="360">
        <f>SUM($B$12:G12)-SUM($B$20:G20)</f>
        <v>5000</v>
      </c>
      <c r="H17" s="360">
        <f>SUM($B$12:H12)-SUM($B$20:H20)</f>
        <v>4000</v>
      </c>
      <c r="I17" s="360">
        <f>SUM($B$12:I12)-SUM($B$20:I20)</f>
        <v>3000</v>
      </c>
      <c r="J17" s="360">
        <f>SUM($B$12:J12)-SUM($B$20:J20)</f>
        <v>2000</v>
      </c>
      <c r="K17" s="360">
        <f>SUM($B$12:K12)-SUM($B$20:K20)</f>
        <v>1000</v>
      </c>
      <c r="L17" s="360">
        <f>SUM($B$12:L12)-SUM($B$20:L20)</f>
        <v>0</v>
      </c>
      <c r="M17" s="360">
        <f>SUM($B$12:M12)-SUM($B$20:M20)</f>
        <v>0</v>
      </c>
      <c r="N17" s="360">
        <f>SUM($B$12:N12)-SUM($B$20:N20)</f>
        <v>0</v>
      </c>
      <c r="O17" s="360">
        <f>SUM($B$12:O12)-SUM($B$20:O20)</f>
        <v>0</v>
      </c>
      <c r="P17" s="360">
        <f>SUM($B$12:P12)-SUM($B$20:P20)</f>
        <v>0</v>
      </c>
      <c r="Q17" s="360">
        <f>SUM($B$12:Q12)-SUM($B$20:Q20)</f>
        <v>0</v>
      </c>
      <c r="R17" s="360">
        <f>SUM($B$12:R12)-SUM($B$20:R20)</f>
        <v>0</v>
      </c>
      <c r="S17" s="360">
        <f>SUM($B$12:S12)-SUM($B$20:S20)</f>
        <v>0</v>
      </c>
      <c r="T17" s="361"/>
    </row>
    <row r="19" spans="1:20" x14ac:dyDescent="0.25">
      <c r="A19" s="58" t="s">
        <v>42</v>
      </c>
      <c r="B19" s="358">
        <f>IF(B1&gt;('Исходные данные тепло'!$B$183),(A15/('Исходные данные тепло'!$B$183-A1)),0)</f>
        <v>0</v>
      </c>
      <c r="C19" s="358">
        <f>IF(C1&gt;('Исходные данные тепло'!$B$183),(B13/('Исходные данные тепло'!$B$182-B1)),0)</f>
        <v>0</v>
      </c>
      <c r="D19" s="358">
        <f>IF(D1&gt;('Исходные данные тепло'!$B$183),(C16/('Исходные данные тепло'!$B$182-C1)),0)</f>
        <v>0</v>
      </c>
      <c r="E19" s="358">
        <f>IF(E1&gt;('Исходные данные тепло'!$B$183),(D16/('Исходные данные тепло'!$B$182-D1)),0)</f>
        <v>0</v>
      </c>
      <c r="F19" s="358">
        <f>IF(F1&gt;('Исходные данные тепло'!$B$183),(E16/('Исходные данные тепло'!$B$182-E1)),0)</f>
        <v>0</v>
      </c>
      <c r="G19" s="358"/>
      <c r="H19" s="358"/>
      <c r="I19" s="358"/>
      <c r="J19" s="358"/>
      <c r="K19" s="358"/>
      <c r="L19" s="358">
        <f>IF(L1&gt;([1]Параметры!$B$19),(K15/([1]Параметры!$B$18-K1)),0)</f>
        <v>0</v>
      </c>
      <c r="M19" s="358">
        <f>IF(M1&gt;([1]Параметры!$B$19),(L15/([1]Параметры!$B$18-L1)),0)</f>
        <v>0</v>
      </c>
      <c r="N19" s="358">
        <f>IF(N1&gt;([1]Параметры!$B$19),(M15/([1]Параметры!$B$18-M1)),0)</f>
        <v>0</v>
      </c>
      <c r="O19" s="358">
        <f>IF(O1&gt;([1]Параметры!$B$19),(N15/([1]Параметры!$B$18-N1)),0)</f>
        <v>0</v>
      </c>
      <c r="P19" s="358">
        <f>IF(P1&gt;([1]Параметры!$B$19),(O15/([1]Параметры!$B$18-O1)),0)</f>
        <v>0</v>
      </c>
      <c r="Q19" s="358"/>
      <c r="R19" s="362"/>
      <c r="S19" s="362"/>
      <c r="T19" s="359"/>
    </row>
    <row r="20" spans="1:20" ht="30" x14ac:dyDescent="0.25">
      <c r="A20" s="58" t="s">
        <v>86</v>
      </c>
      <c r="B20" s="358"/>
      <c r="C20" s="358">
        <f>IF(C2&gt;('Исходные данные тепло'!$B$185),(B12/('Исходные данные тепло'!$B$184-B2)),0)</f>
        <v>1000</v>
      </c>
      <c r="D20" s="358">
        <f>IF(D2&gt;('Исходные данные тепло'!$B$185),(C17/('Исходные данные тепло'!$B$184-C2)),0)</f>
        <v>1000</v>
      </c>
      <c r="E20" s="358">
        <f>IF(E2&gt;('Исходные данные тепло'!$B$185),(D17/('Исходные данные тепло'!$B$184-D2)),0)</f>
        <v>1000</v>
      </c>
      <c r="F20" s="358">
        <f>IF(F2&gt;('Исходные данные тепло'!$B$185),(E17/('Исходные данные тепло'!$B$184-E2)),0)</f>
        <v>1000</v>
      </c>
      <c r="G20" s="358">
        <f>IF(G2&gt;('Исходные данные тепло'!$B$185),(F17/('Исходные данные тепло'!$B$184-F2)),0)</f>
        <v>1000</v>
      </c>
      <c r="H20" s="358">
        <f>IF(H2&gt;('Исходные данные тепло'!$B$185),(G17/('Исходные данные тепло'!$B$184-G2)),0)</f>
        <v>1000</v>
      </c>
      <c r="I20" s="358">
        <f>IF(I2&gt;('Исходные данные тепло'!$B$185),(H17/('Исходные данные тепло'!$B$184-H2)),0)</f>
        <v>1000</v>
      </c>
      <c r="J20" s="358">
        <f>IF(J2&gt;('Исходные данные тепло'!$B$185),(I17/('Исходные данные тепло'!$B$184-I2)),0)</f>
        <v>1000</v>
      </c>
      <c r="K20" s="358">
        <f>IF(K2&gt;('Исходные данные тепло'!$B$185),(J17/('Исходные данные тепло'!$B$184-J2)),0)</f>
        <v>1000</v>
      </c>
      <c r="L20" s="358">
        <f>IF(L2&gt;('Исходные данные тепло'!$B$185),(K17/('Исходные данные тепло'!$B$184-K2)),0)</f>
        <v>1000</v>
      </c>
      <c r="M20" s="358">
        <f>IF(M2&gt;('Исходные данные тепло'!$B$185),(L17/('Исходные данные тепло'!$B$184-L2)),0)</f>
        <v>0</v>
      </c>
      <c r="N20" s="358">
        <f>IF(N2&gt;('Исходные данные тепло'!$B$185),(M17/('Исходные данные тепло'!$B$184-M2)),0)</f>
        <v>0</v>
      </c>
      <c r="O20" s="358">
        <f>IF(O2&gt;('Исходные данные тепло'!$B$185),(N17/('Исходные данные тепло'!$B$184-N2)),0)</f>
        <v>0</v>
      </c>
      <c r="P20" s="358">
        <f>IF(P2&gt;([1]Параметры!$B$21),(O17/([1]Параметры!$B$20-O2)),0)</f>
        <v>0</v>
      </c>
      <c r="Q20" s="358">
        <f>IF(Q2&gt;([1]Параметры!$B$21),(P17/([1]Параметры!$B$20-P2)),0)</f>
        <v>0</v>
      </c>
      <c r="R20" s="363"/>
      <c r="S20" s="363"/>
      <c r="T20" s="364"/>
    </row>
    <row r="22" spans="1:20" x14ac:dyDescent="0.25">
      <c r="F22" s="189" t="s">
        <v>77</v>
      </c>
    </row>
    <row r="26" spans="1:20" x14ac:dyDescent="0.25">
      <c r="B26" s="189" t="s">
        <v>77</v>
      </c>
    </row>
  </sheetData>
  <pageMargins left="0.7" right="0.7" top="0.75" bottom="0.75" header="0.3" footer="0.3"/>
  <pageSetup paperSize="9"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1"/>
  <sheetViews>
    <sheetView tabSelected="1" workbookViewId="0">
      <selection activeCell="M33" sqref="M33"/>
    </sheetView>
  </sheetViews>
  <sheetFormatPr defaultColWidth="8.85546875" defaultRowHeight="15" x14ac:dyDescent="0.25"/>
  <cols>
    <col min="1" max="1" width="5.42578125" customWidth="1"/>
    <col min="2" max="2" width="31.7109375" customWidth="1"/>
    <col min="3" max="17" width="8.7109375" style="189" customWidth="1"/>
  </cols>
  <sheetData>
    <row r="1" spans="2:17" x14ac:dyDescent="0.25">
      <c r="B1" s="100"/>
      <c r="C1" s="365">
        <v>2016</v>
      </c>
      <c r="D1" s="365">
        <v>2017</v>
      </c>
      <c r="E1" s="365">
        <v>2018</v>
      </c>
      <c r="F1" s="365">
        <v>2019</v>
      </c>
      <c r="G1" s="365">
        <v>2020</v>
      </c>
      <c r="H1" s="365">
        <v>2021</v>
      </c>
      <c r="I1" s="365">
        <v>2022</v>
      </c>
      <c r="J1" s="365">
        <v>2023</v>
      </c>
      <c r="K1" s="365">
        <v>2024</v>
      </c>
      <c r="L1" s="366">
        <v>2025</v>
      </c>
      <c r="M1" s="365">
        <v>2026</v>
      </c>
      <c r="N1" s="366">
        <v>2027</v>
      </c>
      <c r="O1" s="365">
        <v>2028</v>
      </c>
      <c r="P1" s="366">
        <v>2029</v>
      </c>
      <c r="Q1" s="365">
        <v>2030</v>
      </c>
    </row>
    <row r="2" spans="2:17" x14ac:dyDescent="0.25">
      <c r="B2" s="165" t="s">
        <v>238</v>
      </c>
      <c r="C2" s="367">
        <f>C3+C6</f>
        <v>9697.033898305086</v>
      </c>
      <c r="D2" s="367">
        <f t="shared" ref="D2:Q2" si="0">D3+D6</f>
        <v>1384.0101384081008</v>
      </c>
      <c r="E2" s="367">
        <f t="shared" si="0"/>
        <v>2200.4657589148801</v>
      </c>
      <c r="F2" s="367">
        <f t="shared" si="0"/>
        <v>2041.4669354869213</v>
      </c>
      <c r="G2" s="367">
        <f t="shared" si="0"/>
        <v>1844.7646153578512</v>
      </c>
      <c r="H2" s="367">
        <f t="shared" si="0"/>
        <v>1660.5147366315766</v>
      </c>
      <c r="I2" s="367">
        <f t="shared" si="0"/>
        <v>1488.7777262894588</v>
      </c>
      <c r="J2" s="367">
        <f t="shared" si="0"/>
        <v>1317.0614124961451</v>
      </c>
      <c r="K2" s="367">
        <f t="shared" si="0"/>
        <v>1145.3392280429166</v>
      </c>
      <c r="L2" s="368">
        <f t="shared" si="0"/>
        <v>973.58203260489415</v>
      </c>
      <c r="M2" s="368">
        <f t="shared" si="0"/>
        <v>793.20802185147181</v>
      </c>
      <c r="N2" s="368">
        <f t="shared" si="0"/>
        <v>761.09479935362174</v>
      </c>
      <c r="O2" s="368">
        <f t="shared" si="0"/>
        <v>730.23959168266265</v>
      </c>
      <c r="P2" s="368">
        <f t="shared" si="0"/>
        <v>699.37561311548779</v>
      </c>
      <c r="Q2" s="368">
        <f t="shared" si="0"/>
        <v>668.50431808012081</v>
      </c>
    </row>
    <row r="3" spans="2:17" x14ac:dyDescent="0.25">
      <c r="B3" s="166" t="s">
        <v>239</v>
      </c>
      <c r="C3" s="369">
        <f>SUM(C4:C5)</f>
        <v>0</v>
      </c>
      <c r="D3" s="369">
        <f t="shared" ref="D3:Q3" si="1">SUM(D4:D5)</f>
        <v>1384.0101384081008</v>
      </c>
      <c r="E3" s="369">
        <f t="shared" si="1"/>
        <v>2200.4657589148801</v>
      </c>
      <c r="F3" s="369">
        <f t="shared" si="1"/>
        <v>2041.4669354869213</v>
      </c>
      <c r="G3" s="369">
        <f t="shared" si="1"/>
        <v>1844.7646153578512</v>
      </c>
      <c r="H3" s="369">
        <f t="shared" si="1"/>
        <v>1660.5147366315766</v>
      </c>
      <c r="I3" s="369">
        <f t="shared" si="1"/>
        <v>1488.7777262894588</v>
      </c>
      <c r="J3" s="369">
        <f t="shared" si="1"/>
        <v>1317.0614124961451</v>
      </c>
      <c r="K3" s="369">
        <f t="shared" si="1"/>
        <v>1145.3392280429166</v>
      </c>
      <c r="L3" s="370">
        <f t="shared" si="1"/>
        <v>973.58203260489415</v>
      </c>
      <c r="M3" s="370">
        <f t="shared" si="1"/>
        <v>793.20802185147181</v>
      </c>
      <c r="N3" s="370">
        <f t="shared" si="1"/>
        <v>761.09479935362174</v>
      </c>
      <c r="O3" s="370">
        <f t="shared" si="1"/>
        <v>730.23959168266265</v>
      </c>
      <c r="P3" s="370">
        <f t="shared" si="1"/>
        <v>699.37561311548779</v>
      </c>
      <c r="Q3" s="370">
        <f t="shared" si="1"/>
        <v>668.50431808012081</v>
      </c>
    </row>
    <row r="4" spans="2:17" x14ac:dyDescent="0.25">
      <c r="B4" s="167" t="s">
        <v>240</v>
      </c>
      <c r="C4" s="343">
        <f>'Расчет тарифа тепло'!E68</f>
        <v>0</v>
      </c>
      <c r="D4" s="343">
        <f>'Расчет тарифа тепло'!F68</f>
        <v>492.87089790177174</v>
      </c>
      <c r="E4" s="343">
        <f>'Расчет тарифа тепло'!G68</f>
        <v>531.74499083936007</v>
      </c>
      <c r="F4" s="343">
        <f>'Расчет тарифа тепло'!H68</f>
        <v>542.74938560492183</v>
      </c>
      <c r="G4" s="343">
        <f>'Расчет тарифа тепло'!I68</f>
        <v>516.05028366937222</v>
      </c>
      <c r="H4" s="343">
        <f>'Расчет тарифа тепло'!J68</f>
        <v>501.8036231366184</v>
      </c>
      <c r="I4" s="343">
        <f>'Расчет тарифа тепло'!K68</f>
        <v>500.06983098802129</v>
      </c>
      <c r="J4" s="343">
        <f>'Расчет тарифа тепло'!L68</f>
        <v>498.35673538822812</v>
      </c>
      <c r="K4" s="343">
        <f>'Расчет тарифа тепло'!M68</f>
        <v>496.6377691285204</v>
      </c>
      <c r="L4" s="343">
        <f>'Расчет тарифа тепло'!N68</f>
        <v>494.88379188401859</v>
      </c>
      <c r="M4" s="343">
        <f>'Расчет тарифа тепло'!O68</f>
        <v>414.89274615955992</v>
      </c>
      <c r="N4" s="343">
        <f>'Расчет тарифа тепло'!P68</f>
        <v>413.54223552611666</v>
      </c>
      <c r="O4" s="343">
        <f>'Расчет тарифа тепло'!Q68</f>
        <v>413.44973971956438</v>
      </c>
      <c r="P4" s="343">
        <f>'Расчет тарифа тепло'!R68</f>
        <v>413.34847301679633</v>
      </c>
      <c r="Q4" s="343">
        <f>'Расчет тарифа тепло'!S68</f>
        <v>413.23988984583616</v>
      </c>
    </row>
    <row r="5" spans="2:17" x14ac:dyDescent="0.25">
      <c r="B5" s="167" t="s">
        <v>241</v>
      </c>
      <c r="C5" s="240"/>
      <c r="D5" s="343">
        <f>'Расчет тарифа тепло'!F65</f>
        <v>891.13924050632909</v>
      </c>
      <c r="E5" s="343">
        <f>'Расчет тарифа тепло'!G65</f>
        <v>1668.7207680755203</v>
      </c>
      <c r="F5" s="343">
        <f>'Расчет тарифа тепло'!H65</f>
        <v>1498.7175498819995</v>
      </c>
      <c r="G5" s="343">
        <f>'Расчет тарифа тепло'!I65</f>
        <v>1328.714331688479</v>
      </c>
      <c r="H5" s="343">
        <f>'Расчет тарифа тепло'!J65</f>
        <v>1158.7111134949582</v>
      </c>
      <c r="I5" s="343">
        <f>'Расчет тарифа тепло'!K65</f>
        <v>988.70789530143759</v>
      </c>
      <c r="J5" s="343">
        <f>'Расчет тарифа тепло'!L65</f>
        <v>818.70467710791695</v>
      </c>
      <c r="K5" s="343">
        <f>'Расчет тарифа тепло'!M65</f>
        <v>648.7014589143962</v>
      </c>
      <c r="L5" s="343">
        <f>'Расчет тарифа тепло'!N65</f>
        <v>478.69824072087556</v>
      </c>
      <c r="M5" s="343">
        <f>'Расчет тарифа тепло'!O65</f>
        <v>378.31527569191184</v>
      </c>
      <c r="N5" s="343">
        <f>'Расчет тарифа тепло'!P65</f>
        <v>347.55256382750503</v>
      </c>
      <c r="O5" s="343">
        <f>'Расчет тарифа тепло'!Q65</f>
        <v>316.78985196309827</v>
      </c>
      <c r="P5" s="343">
        <f>'Расчет тарифа тепло'!R65</f>
        <v>286.02714009869146</v>
      </c>
      <c r="Q5" s="343">
        <f>'Расчет тарифа тепло'!S65</f>
        <v>255.26442823428465</v>
      </c>
    </row>
    <row r="6" spans="2:17" x14ac:dyDescent="0.25">
      <c r="B6" s="166" t="s">
        <v>242</v>
      </c>
      <c r="C6" s="369">
        <f>SUM(C8+C9+C11+C12)</f>
        <v>9697.033898305086</v>
      </c>
      <c r="D6" s="369">
        <f t="shared" ref="D6:Q6" si="2">SUM(D8+D9+D11+D12)</f>
        <v>0</v>
      </c>
      <c r="E6" s="369">
        <f t="shared" si="2"/>
        <v>0</v>
      </c>
      <c r="F6" s="369">
        <f t="shared" si="2"/>
        <v>0</v>
      </c>
      <c r="G6" s="369">
        <f t="shared" si="2"/>
        <v>0</v>
      </c>
      <c r="H6" s="369">
        <f t="shared" si="2"/>
        <v>0</v>
      </c>
      <c r="I6" s="369">
        <f t="shared" si="2"/>
        <v>0</v>
      </c>
      <c r="J6" s="369">
        <f t="shared" si="2"/>
        <v>0</v>
      </c>
      <c r="K6" s="369">
        <f t="shared" si="2"/>
        <v>0</v>
      </c>
      <c r="L6" s="369">
        <f t="shared" si="2"/>
        <v>0</v>
      </c>
      <c r="M6" s="369">
        <f t="shared" si="2"/>
        <v>0</v>
      </c>
      <c r="N6" s="369">
        <f t="shared" si="2"/>
        <v>0</v>
      </c>
      <c r="O6" s="369">
        <f t="shared" si="2"/>
        <v>0</v>
      </c>
      <c r="P6" s="369">
        <f t="shared" si="2"/>
        <v>0</v>
      </c>
      <c r="Q6" s="369">
        <f t="shared" si="2"/>
        <v>0</v>
      </c>
    </row>
    <row r="7" spans="2:17" x14ac:dyDescent="0.25">
      <c r="B7" s="167" t="s">
        <v>243</v>
      </c>
      <c r="C7" s="343">
        <f>'Расчет тарифа тепло'!E85/(1+'Исходные данные общие'!B13)*'Исходные данные общие'!B14</f>
        <v>10593.220338983052</v>
      </c>
      <c r="D7" s="343">
        <f>'Расчет тарифа тепло'!F85/(1+'Исходные данные общие'!C13)*'Исходные данные общие'!C14</f>
        <v>0</v>
      </c>
      <c r="E7" s="343">
        <f>'Расчет тарифа тепло'!G85/(1+'Исходные данные общие'!D13)*'Исходные данные общие'!D14</f>
        <v>0</v>
      </c>
      <c r="F7" s="343">
        <f>'Расчет тарифа тепло'!H85/(1+'Исходные данные общие'!E13)*'Исходные данные общие'!E14</f>
        <v>0</v>
      </c>
      <c r="G7" s="343">
        <f>'Расчет тарифа тепло'!I85/(1+'Исходные данные общие'!F13)*'Исходные данные общие'!F14</f>
        <v>0</v>
      </c>
      <c r="H7" s="343">
        <f>'Расчет тарифа тепло'!J85/(1+'Исходные данные общие'!G13)*'Исходные данные общие'!G14</f>
        <v>0</v>
      </c>
      <c r="I7" s="343">
        <f>'Расчет тарифа тепло'!K85/(1+'Исходные данные общие'!H13)*'Исходные данные общие'!H14</f>
        <v>0</v>
      </c>
      <c r="J7" s="343">
        <f>'Расчет тарифа тепло'!L85/(1+'Исходные данные общие'!I13)*'Исходные данные общие'!I14</f>
        <v>0</v>
      </c>
      <c r="K7" s="343">
        <f>'Расчет тарифа тепло'!M85/(1+'Исходные данные общие'!J13)*'Исходные данные общие'!J14</f>
        <v>0</v>
      </c>
      <c r="L7" s="343">
        <f>'Расчет тарифа тепло'!N85/(1+'Исходные данные общие'!K13)*'Исходные данные общие'!K14</f>
        <v>0</v>
      </c>
      <c r="M7" s="343">
        <f>'Расчет тарифа тепло'!O85/(1+'Исходные данные общие'!L13)*'Исходные данные общие'!L14</f>
        <v>0</v>
      </c>
      <c r="N7" s="343">
        <f>'Расчет тарифа тепло'!P85/(1+'Исходные данные общие'!M13)*'Исходные данные общие'!M14</f>
        <v>0</v>
      </c>
      <c r="O7" s="343">
        <f>'Расчет тарифа тепло'!Q85/(1+'Исходные данные общие'!N13)*'Исходные данные общие'!N14</f>
        <v>0</v>
      </c>
      <c r="P7" s="343">
        <f>'Расчет тарифа тепло'!R85/(1+'Исходные данные общие'!O13)*'Исходные данные общие'!O14</f>
        <v>0</v>
      </c>
      <c r="Q7" s="343">
        <f>'Расчет тарифа тепло'!S85/(1+'Исходные данные общие'!P13)*'Исходные данные общие'!P14</f>
        <v>0</v>
      </c>
    </row>
    <row r="8" spans="2:17" s="169" customFormat="1" x14ac:dyDescent="0.25">
      <c r="B8" s="168" t="s">
        <v>244</v>
      </c>
      <c r="C8" s="371">
        <f>C7*'Исходные данные общие'!B16</f>
        <v>1377.1186440677968</v>
      </c>
      <c r="D8" s="371">
        <f>D7*'Исходные данные общие'!C16</f>
        <v>0</v>
      </c>
      <c r="E8" s="371">
        <f>E7*'Исходные данные общие'!D16</f>
        <v>0</v>
      </c>
      <c r="F8" s="371">
        <f>F7*'Исходные данные общие'!E16</f>
        <v>0</v>
      </c>
      <c r="G8" s="371">
        <f>G7*'Исходные данные общие'!F16</f>
        <v>0</v>
      </c>
      <c r="H8" s="371">
        <f>H7*'Исходные данные общие'!G16</f>
        <v>0</v>
      </c>
      <c r="I8" s="371">
        <f>I7*'Исходные данные общие'!H16</f>
        <v>0</v>
      </c>
      <c r="J8" s="371">
        <f>J7*'Исходные данные общие'!I16</f>
        <v>0</v>
      </c>
      <c r="K8" s="371">
        <f>K7*'Исходные данные общие'!J16</f>
        <v>0</v>
      </c>
      <c r="L8" s="371">
        <f>L7*'Исходные данные общие'!K16</f>
        <v>0</v>
      </c>
      <c r="M8" s="371">
        <f>M7*'Исходные данные общие'!L16</f>
        <v>0</v>
      </c>
      <c r="N8" s="371">
        <f>N7*'Исходные данные общие'!M16</f>
        <v>0</v>
      </c>
      <c r="O8" s="371">
        <f>O7*'Исходные данные общие'!N16</f>
        <v>0</v>
      </c>
      <c r="P8" s="371">
        <f>P7*'Исходные данные общие'!O16</f>
        <v>0</v>
      </c>
      <c r="Q8" s="371">
        <f>Q7*'Исходные данные общие'!P16</f>
        <v>0</v>
      </c>
    </row>
    <row r="9" spans="2:17" s="169" customFormat="1" x14ac:dyDescent="0.25">
      <c r="B9" s="168" t="s">
        <v>245</v>
      </c>
      <c r="C9" s="371">
        <f>C7*'Исходные данные общие'!B17</f>
        <v>3177.9661016949153</v>
      </c>
      <c r="D9" s="371">
        <f>D7*'Исходные данные общие'!C17</f>
        <v>0</v>
      </c>
      <c r="E9" s="371">
        <f>E7*'Исходные данные общие'!D17</f>
        <v>0</v>
      </c>
      <c r="F9" s="371">
        <f>F7*'Исходные данные общие'!E17</f>
        <v>0</v>
      </c>
      <c r="G9" s="371">
        <f>G7*'Исходные данные общие'!F17</f>
        <v>0</v>
      </c>
      <c r="H9" s="371">
        <f>H7*'Исходные данные общие'!G17</f>
        <v>0</v>
      </c>
      <c r="I9" s="371">
        <f>I7*'Исходные данные общие'!H17</f>
        <v>0</v>
      </c>
      <c r="J9" s="371">
        <f>J7*'Исходные данные общие'!I17</f>
        <v>0</v>
      </c>
      <c r="K9" s="371">
        <f>K7*'Исходные данные общие'!J17</f>
        <v>0</v>
      </c>
      <c r="L9" s="371">
        <f>L7*'Исходные данные общие'!K17</f>
        <v>0</v>
      </c>
      <c r="M9" s="371">
        <f>M7*'Исходные данные общие'!L17</f>
        <v>0</v>
      </c>
      <c r="N9" s="371">
        <f>N7*'Исходные данные общие'!M17</f>
        <v>0</v>
      </c>
      <c r="O9" s="371">
        <f>O7*'Исходные данные общие'!N17</f>
        <v>0</v>
      </c>
      <c r="P9" s="371">
        <f>P7*'Исходные данные общие'!O17</f>
        <v>0</v>
      </c>
      <c r="Q9" s="371">
        <f>Q7*'Исходные данные общие'!P17</f>
        <v>0</v>
      </c>
    </row>
    <row r="10" spans="2:17" x14ac:dyDescent="0.25">
      <c r="B10" s="167" t="s">
        <v>246</v>
      </c>
      <c r="C10" s="343">
        <f>'Расчет тарифа тепло'!E85/(1+'Исходные данные общие'!B13)*'Исходные данные общие'!B18</f>
        <v>6355.9322033898306</v>
      </c>
      <c r="D10" s="343">
        <f>'Расчет тарифа тепло'!F85/(1+'Исходные данные общие'!C13)*'Исходные данные общие'!C18</f>
        <v>0</v>
      </c>
      <c r="E10" s="343">
        <f>'Расчет тарифа тепло'!G85/(1+'Исходные данные общие'!D13)*'Исходные данные общие'!D18</f>
        <v>0</v>
      </c>
      <c r="F10" s="343">
        <f>'Расчет тарифа тепло'!H85/(1+'Исходные данные общие'!E13)*'Исходные данные общие'!E18</f>
        <v>0</v>
      </c>
      <c r="G10" s="343">
        <f>'Расчет тарифа тепло'!I85/(1+'Исходные данные общие'!F13)*'Исходные данные общие'!F18</f>
        <v>0</v>
      </c>
      <c r="H10" s="343">
        <f>'Расчет тарифа тепло'!J85/(1+'Исходные данные общие'!G13)*'Исходные данные общие'!G18</f>
        <v>0</v>
      </c>
      <c r="I10" s="343">
        <f>'Расчет тарифа тепло'!K85/(1+'Исходные данные общие'!H13)*'Исходные данные общие'!H18</f>
        <v>0</v>
      </c>
      <c r="J10" s="343">
        <f>'Расчет тарифа тепло'!L85/(1+'Исходные данные общие'!I13)*'Исходные данные общие'!I18</f>
        <v>0</v>
      </c>
      <c r="K10" s="343">
        <f>'Расчет тарифа тепло'!M85/(1+'Исходные данные общие'!J13)*'Исходные данные общие'!J18</f>
        <v>0</v>
      </c>
      <c r="L10" s="343">
        <f>'Расчет тарифа тепло'!N85/(1+'Исходные данные общие'!K13)*'Исходные данные общие'!K18</f>
        <v>0</v>
      </c>
      <c r="M10" s="343">
        <f>'Расчет тарифа тепло'!O85/(1+'Исходные данные общие'!L13)*'Исходные данные общие'!L18</f>
        <v>0</v>
      </c>
      <c r="N10" s="343">
        <f>'Расчет тарифа тепло'!P85/(1+'Исходные данные общие'!M13)*'Исходные данные общие'!M18</f>
        <v>0</v>
      </c>
      <c r="O10" s="343">
        <f>'Расчет тарифа тепло'!Q85/(1+'Исходные данные общие'!N13)*'Исходные данные общие'!N18</f>
        <v>0</v>
      </c>
      <c r="P10" s="343">
        <f>'Расчет тарифа тепло'!R85/(1+'Исходные данные общие'!O13)*'Исходные данные общие'!O18</f>
        <v>0</v>
      </c>
      <c r="Q10" s="343">
        <f>'Расчет тарифа тепло'!S85/(1+'Исходные данные общие'!P13)*'Исходные данные общие'!P18</f>
        <v>0</v>
      </c>
    </row>
    <row r="11" spans="2:17" s="169" customFormat="1" x14ac:dyDescent="0.25">
      <c r="B11" s="168" t="s">
        <v>240</v>
      </c>
      <c r="C11" s="371">
        <f>C10*'Исходные данные общие'!B15</f>
        <v>1271.1864406779662</v>
      </c>
      <c r="D11" s="371">
        <f>D10*'Исходные данные общие'!C15</f>
        <v>0</v>
      </c>
      <c r="E11" s="371">
        <f>E10*'Исходные данные общие'!D15</f>
        <v>0</v>
      </c>
      <c r="F11" s="371">
        <f>F10*'Исходные данные общие'!E15</f>
        <v>0</v>
      </c>
      <c r="G11" s="371">
        <f>G10*'Исходные данные общие'!F15</f>
        <v>0</v>
      </c>
      <c r="H11" s="371">
        <f>H10*'Исходные данные общие'!G15</f>
        <v>0</v>
      </c>
      <c r="I11" s="371">
        <f>I10*'Исходные данные общие'!H15</f>
        <v>0</v>
      </c>
      <c r="J11" s="371">
        <f>J10*'Исходные данные общие'!I15</f>
        <v>0</v>
      </c>
      <c r="K11" s="371">
        <f>K10*'Исходные данные общие'!J15</f>
        <v>0</v>
      </c>
      <c r="L11" s="371">
        <f>L10*'Исходные данные общие'!K15</f>
        <v>0</v>
      </c>
      <c r="M11" s="371">
        <f>M10*'Исходные данные общие'!L15</f>
        <v>0</v>
      </c>
      <c r="N11" s="371">
        <f>N10*'Исходные данные общие'!M15</f>
        <v>0</v>
      </c>
      <c r="O11" s="371">
        <f>O10*'Исходные данные общие'!N15</f>
        <v>0</v>
      </c>
      <c r="P11" s="371">
        <f>P10*'Исходные данные общие'!O15</f>
        <v>0</v>
      </c>
      <c r="Q11" s="371">
        <f>Q10*'Исходные данные общие'!P15</f>
        <v>0</v>
      </c>
    </row>
    <row r="12" spans="2:17" s="169" customFormat="1" x14ac:dyDescent="0.25">
      <c r="B12" s="168" t="s">
        <v>217</v>
      </c>
      <c r="C12" s="371">
        <f>(C7+C8+C9+C10)*'Исходные данные общие'!B13</f>
        <v>3870.7627118644068</v>
      </c>
      <c r="D12" s="371">
        <f>(D7+D8+D9+D10)*'Исходные данные общие'!C13</f>
        <v>0</v>
      </c>
      <c r="E12" s="371">
        <f>(E7+E8+E9+E10)*'Исходные данные общие'!D13</f>
        <v>0</v>
      </c>
      <c r="F12" s="371">
        <f>(F7+F8+F9+F10)*'Исходные данные общие'!E13</f>
        <v>0</v>
      </c>
      <c r="G12" s="371">
        <f>(G7+G8+G9+G10)*'Исходные данные общие'!F13</f>
        <v>0</v>
      </c>
      <c r="H12" s="371">
        <f>(H7+H8+H9+H10)*'Исходные данные общие'!G13</f>
        <v>0</v>
      </c>
      <c r="I12" s="371">
        <f>(I7+I8+I9+I10)*'Исходные данные общие'!H13</f>
        <v>0</v>
      </c>
      <c r="J12" s="371">
        <f>(J7+J8+J9+J10)*'Исходные данные общие'!I13</f>
        <v>0</v>
      </c>
      <c r="K12" s="371">
        <f>(K7+K8+K9+K10)*'Исходные данные общие'!J13</f>
        <v>0</v>
      </c>
      <c r="L12" s="371">
        <f>(L7+L8+L9+L10)*'Исходные данные общие'!K13</f>
        <v>0</v>
      </c>
      <c r="M12" s="371">
        <f>(M7+M8+M9+M10)*'Исходные данные общие'!L13</f>
        <v>0</v>
      </c>
      <c r="N12" s="371">
        <f>(N7+N8+N9+N10)*'Исходные данные общие'!M13</f>
        <v>0</v>
      </c>
      <c r="O12" s="371">
        <f>(O7+O8+O9+O10)*'Исходные данные общие'!N13</f>
        <v>0</v>
      </c>
      <c r="P12" s="371">
        <f>(P7+P8+P9+P10)*'Исходные данные общие'!O13</f>
        <v>0</v>
      </c>
      <c r="Q12" s="371">
        <f>(Q7+Q8+Q9+Q10)*'Исходные данные общие'!P13</f>
        <v>0</v>
      </c>
    </row>
    <row r="13" spans="2:17" s="169" customFormat="1" ht="30" x14ac:dyDescent="0.25">
      <c r="B13" s="170" t="s">
        <v>247</v>
      </c>
      <c r="C13" s="372">
        <f>C2*C18</f>
        <v>9697.033898305086</v>
      </c>
      <c r="D13" s="372">
        <f t="shared" ref="D13:Q13" si="3">D2*D18</f>
        <v>1320.6203610764319</v>
      </c>
      <c r="E13" s="372">
        <f t="shared" si="3"/>
        <v>2009.264179585522</v>
      </c>
      <c r="F13" s="372">
        <f t="shared" si="3"/>
        <v>1794.1106723876082</v>
      </c>
      <c r="G13" s="372">
        <f t="shared" si="3"/>
        <v>1555.8944088818234</v>
      </c>
      <c r="H13" s="372">
        <f t="shared" si="3"/>
        <v>1347.926920484467</v>
      </c>
      <c r="I13" s="372">
        <f t="shared" si="3"/>
        <v>1164.2764740431239</v>
      </c>
      <c r="J13" s="372">
        <f t="shared" si="3"/>
        <v>992.28158503220652</v>
      </c>
      <c r="K13" s="372">
        <f t="shared" si="3"/>
        <v>832.91999150196136</v>
      </c>
      <c r="L13" s="373">
        <f t="shared" si="3"/>
        <v>684.07126991969847</v>
      </c>
      <c r="M13" s="373">
        <f t="shared" si="3"/>
        <v>539.008184213052</v>
      </c>
      <c r="N13" s="373">
        <f t="shared" si="3"/>
        <v>500.66438031822281</v>
      </c>
      <c r="O13" s="373">
        <f t="shared" si="3"/>
        <v>465.92353743121066</v>
      </c>
      <c r="P13" s="373">
        <f t="shared" si="3"/>
        <v>433.65502671080628</v>
      </c>
      <c r="Q13" s="373">
        <f t="shared" si="3"/>
        <v>403.22272703046622</v>
      </c>
    </row>
    <row r="14" spans="2:17" ht="30" x14ac:dyDescent="0.25">
      <c r="B14" s="171" t="s">
        <v>248</v>
      </c>
      <c r="C14" s="374">
        <f>SUM('Расчет тарифа тепло'!E86:E87)</f>
        <v>40000</v>
      </c>
      <c r="D14" s="374">
        <f>SUM('Расчет тарифа тепло'!F86:F87)</f>
        <v>0</v>
      </c>
      <c r="E14" s="374">
        <f>SUM('Расчет тарифа тепло'!G86:G87)</f>
        <v>0</v>
      </c>
      <c r="F14" s="374">
        <f>SUM('Расчет тарифа тепло'!H86:H87)</f>
        <v>0</v>
      </c>
      <c r="G14" s="374">
        <f>SUM('Расчет тарифа тепло'!I86:I87)</f>
        <v>0</v>
      </c>
      <c r="H14" s="374">
        <f>SUM('Расчет тарифа тепло'!J86:J87)</f>
        <v>0</v>
      </c>
      <c r="I14" s="374">
        <f>SUM('Расчет тарифа тепло'!K86:K87)</f>
        <v>0</v>
      </c>
      <c r="J14" s="374">
        <f>SUM('Расчет тарифа тепло'!L86:L87)</f>
        <v>0</v>
      </c>
      <c r="K14" s="374">
        <f>SUM('Расчет тарифа тепло'!M86:M87)</f>
        <v>0</v>
      </c>
      <c r="L14" s="374">
        <f>SUM('Расчет тарифа тепло'!N86:N87)</f>
        <v>0</v>
      </c>
      <c r="M14" s="374">
        <f>SUM('Расчет тарифа тепло'!O86:O87)</f>
        <v>0</v>
      </c>
      <c r="N14" s="374">
        <f>SUM('Расчет тарифа тепло'!P86:P87)</f>
        <v>0</v>
      </c>
      <c r="O14" s="374">
        <f>SUM('Расчет тарифа тепло'!Q86:Q87)</f>
        <v>0</v>
      </c>
      <c r="P14" s="374">
        <f>SUM('Расчет тарифа тепло'!R86:R87)</f>
        <v>0</v>
      </c>
      <c r="Q14" s="374">
        <f>SUM('Расчет тарифа тепло'!S86:S87)</f>
        <v>0</v>
      </c>
    </row>
    <row r="15" spans="2:17" ht="30" x14ac:dyDescent="0.25">
      <c r="B15" s="172" t="s">
        <v>249</v>
      </c>
      <c r="C15" s="375">
        <f>C14*C18</f>
        <v>40000</v>
      </c>
      <c r="D15" s="375">
        <f t="shared" ref="D15:Q15" si="4">D14*D18</f>
        <v>0</v>
      </c>
      <c r="E15" s="375">
        <f t="shared" si="4"/>
        <v>0</v>
      </c>
      <c r="F15" s="375">
        <f t="shared" si="4"/>
        <v>0</v>
      </c>
      <c r="G15" s="375">
        <f t="shared" si="4"/>
        <v>0</v>
      </c>
      <c r="H15" s="375">
        <f t="shared" si="4"/>
        <v>0</v>
      </c>
      <c r="I15" s="375">
        <f t="shared" si="4"/>
        <v>0</v>
      </c>
      <c r="J15" s="375">
        <f t="shared" si="4"/>
        <v>0</v>
      </c>
      <c r="K15" s="375">
        <f t="shared" si="4"/>
        <v>0</v>
      </c>
      <c r="L15" s="376">
        <f t="shared" si="4"/>
        <v>0</v>
      </c>
      <c r="M15" s="376">
        <f t="shared" si="4"/>
        <v>0</v>
      </c>
      <c r="N15" s="376">
        <f t="shared" si="4"/>
        <v>0</v>
      </c>
      <c r="O15" s="376">
        <f t="shared" si="4"/>
        <v>0</v>
      </c>
      <c r="P15" s="376">
        <f t="shared" si="4"/>
        <v>0</v>
      </c>
      <c r="Q15" s="376">
        <f t="shared" si="4"/>
        <v>0</v>
      </c>
    </row>
    <row r="16" spans="2:17" x14ac:dyDescent="0.25">
      <c r="B16" s="167" t="s">
        <v>250</v>
      </c>
      <c r="C16" s="377"/>
      <c r="D16" s="235">
        <f>'Исходные данные общие'!C2</f>
        <v>4.8000000000000001E-2</v>
      </c>
      <c r="E16" s="235">
        <f>'Исходные данные общие'!D2</f>
        <v>4.4999999999999998E-2</v>
      </c>
      <c r="F16" s="235">
        <f>'Исходные данные общие'!E2</f>
        <v>3.9E-2</v>
      </c>
      <c r="G16" s="235">
        <f>'Исходные данные общие'!F2</f>
        <v>4.2000000000000003E-2</v>
      </c>
      <c r="H16" s="235">
        <f>'Исходные данные общие'!G2</f>
        <v>3.9E-2</v>
      </c>
      <c r="I16" s="235">
        <f>'Исходные данные общие'!H2</f>
        <v>3.7999999999999999E-2</v>
      </c>
      <c r="J16" s="235">
        <f>'Исходные данные общие'!I2</f>
        <v>3.7999999999999999E-2</v>
      </c>
      <c r="K16" s="235">
        <f>'Исходные данные общие'!J2</f>
        <v>3.5999999999999997E-2</v>
      </c>
      <c r="L16" s="235">
        <f>'Исходные данные общие'!K2</f>
        <v>3.5000000000000003E-2</v>
      </c>
      <c r="M16" s="235">
        <f>'Исходные данные общие'!L2</f>
        <v>3.4000000000000002E-2</v>
      </c>
      <c r="N16" s="235">
        <f>'Исходные данные общие'!M2</f>
        <v>3.3000000000000002E-2</v>
      </c>
      <c r="O16" s="235">
        <f>'Исходные данные общие'!N2</f>
        <v>3.1E-2</v>
      </c>
      <c r="P16" s="235">
        <f>'Исходные данные общие'!O2</f>
        <v>2.9000000000000001E-2</v>
      </c>
      <c r="Q16" s="235">
        <f>'Исходные данные общие'!P2</f>
        <v>2.8000000000000001E-2</v>
      </c>
    </row>
    <row r="17" spans="2:17" ht="30" x14ac:dyDescent="0.25">
      <c r="B17" s="167" t="s">
        <v>128</v>
      </c>
      <c r="C17" s="192">
        <v>1</v>
      </c>
      <c r="D17" s="216">
        <f>1/(1+D16)</f>
        <v>0.95419847328244267</v>
      </c>
      <c r="E17" s="216">
        <f t="shared" ref="E17:Q17" si="5">1/(1+E16)</f>
        <v>0.95693779904306231</v>
      </c>
      <c r="F17" s="216">
        <f t="shared" si="5"/>
        <v>0.9624639076034649</v>
      </c>
      <c r="G17" s="216">
        <f t="shared" si="5"/>
        <v>0.95969289827255277</v>
      </c>
      <c r="H17" s="216">
        <f t="shared" si="5"/>
        <v>0.9624639076034649</v>
      </c>
      <c r="I17" s="216">
        <f t="shared" si="5"/>
        <v>0.96339113680154143</v>
      </c>
      <c r="J17" s="216">
        <f t="shared" si="5"/>
        <v>0.96339113680154143</v>
      </c>
      <c r="K17" s="216">
        <f t="shared" si="5"/>
        <v>0.96525096525096521</v>
      </c>
      <c r="L17" s="378">
        <f t="shared" si="5"/>
        <v>0.96618357487922713</v>
      </c>
      <c r="M17" s="378">
        <f t="shared" si="5"/>
        <v>0.96711798839458407</v>
      </c>
      <c r="N17" s="378">
        <f t="shared" si="5"/>
        <v>0.96805421103581812</v>
      </c>
      <c r="O17" s="378">
        <f t="shared" si="5"/>
        <v>0.96993210475266745</v>
      </c>
      <c r="P17" s="378">
        <f t="shared" si="5"/>
        <v>0.97181729834791064</v>
      </c>
      <c r="Q17" s="378">
        <f t="shared" si="5"/>
        <v>0.97276264591439687</v>
      </c>
    </row>
    <row r="18" spans="2:17" ht="15.75" thickBot="1" x14ac:dyDescent="0.3">
      <c r="B18" s="173" t="s">
        <v>127</v>
      </c>
      <c r="C18" s="379">
        <f>C17</f>
        <v>1</v>
      </c>
      <c r="D18" s="379">
        <f>PRODUCT($C17:D$17)</f>
        <v>0.95419847328244267</v>
      </c>
      <c r="E18" s="379">
        <f>PRODUCT($C17:E$17)</f>
        <v>0.913108586873151</v>
      </c>
      <c r="F18" s="379">
        <f>PRODUCT($C17:F$17)</f>
        <v>0.87883405858821084</v>
      </c>
      <c r="G18" s="379">
        <f>PRODUCT($C17:G$17)</f>
        <v>0.84341080478715047</v>
      </c>
      <c r="H18" s="379">
        <f>PRODUCT($C17:H$17)</f>
        <v>0.81175245889042391</v>
      </c>
      <c r="I18" s="379">
        <f>PRODUCT($C17:I$17)</f>
        <v>0.78203512417189203</v>
      </c>
      <c r="J18" s="379">
        <f>PRODUCT($C17:J$17)</f>
        <v>0.75340570729469369</v>
      </c>
      <c r="K18" s="379">
        <f>PRODUCT($C17:K$17)</f>
        <v>0.72722558619178923</v>
      </c>
      <c r="L18" s="380">
        <f>PRODUCT($C17:L$17)</f>
        <v>0.70263341661042444</v>
      </c>
      <c r="M18" s="380">
        <f>PRODUCT($C17:M$17)</f>
        <v>0.67952941645108744</v>
      </c>
      <c r="N18" s="380">
        <f>PRODUCT($C17:N$17)</f>
        <v>0.65782131311818737</v>
      </c>
      <c r="O18" s="380">
        <f>PRODUCT($C17:O$17)</f>
        <v>0.638042010783887</v>
      </c>
      <c r="P18" s="380">
        <f>PRODUCT($C17:P$17)</f>
        <v>0.62006026315246554</v>
      </c>
      <c r="Q18" s="380">
        <f>PRODUCT($C17:Q$17)</f>
        <v>0.60317146221056961</v>
      </c>
    </row>
    <row r="19" spans="2:17" ht="15.75" thickBot="1" x14ac:dyDescent="0.3"/>
    <row r="20" spans="2:17" ht="30" x14ac:dyDescent="0.25">
      <c r="B20" s="174" t="str">
        <f>B13</f>
        <v>Дисконтированные бюджетные доходы</v>
      </c>
      <c r="C20" s="381">
        <f>SUM(C13:L13)</f>
        <v>21398.39976121793</v>
      </c>
    </row>
    <row r="21" spans="2:17" x14ac:dyDescent="0.25">
      <c r="B21" s="166" t="s">
        <v>251</v>
      </c>
      <c r="C21" s="382">
        <f>'Амортизация тепло'!D4-SUM('Амортизация тепло'!E6:L6)</f>
        <v>31186.440677966097</v>
      </c>
    </row>
    <row r="22" spans="2:17" ht="30.75" thickBot="1" x14ac:dyDescent="0.3">
      <c r="B22" s="175" t="str">
        <f>B15</f>
        <v>Дисконтированные бюджетные инвестиции</v>
      </c>
      <c r="C22" s="383">
        <f>SUM(C15:L15)</f>
        <v>40000</v>
      </c>
    </row>
    <row r="24" spans="2:17" x14ac:dyDescent="0.25">
      <c r="B24" s="176" t="s">
        <v>252</v>
      </c>
      <c r="C24" s="384">
        <f>(C20+C21)/C22</f>
        <v>1.3146210109796008</v>
      </c>
      <c r="D24" s="385" t="str">
        <f>IF(C24&gt;1,"positive","negative")</f>
        <v>positive</v>
      </c>
    </row>
    <row r="29" spans="2:17" x14ac:dyDescent="0.25">
      <c r="C29" s="258"/>
    </row>
    <row r="31" spans="2:17" x14ac:dyDescent="0.25">
      <c r="C31" s="254"/>
    </row>
    <row r="32" spans="2:17" x14ac:dyDescent="0.25">
      <c r="C32" s="254"/>
    </row>
    <row r="33" spans="3:3" x14ac:dyDescent="0.25">
      <c r="C33" s="254"/>
    </row>
    <row r="34" spans="3:3" x14ac:dyDescent="0.25">
      <c r="C34" s="254"/>
    </row>
    <row r="35" spans="3:3" x14ac:dyDescent="0.25">
      <c r="C35" s="254"/>
    </row>
    <row r="36" spans="3:3" x14ac:dyDescent="0.25">
      <c r="C36" s="254"/>
    </row>
    <row r="38" spans="3:3" x14ac:dyDescent="0.25">
      <c r="C38" s="254"/>
    </row>
    <row r="39" spans="3:3" x14ac:dyDescent="0.25">
      <c r="C39" s="254"/>
    </row>
    <row r="41" spans="3:3" x14ac:dyDescent="0.25">
      <c r="C41" s="254"/>
    </row>
  </sheetData>
  <conditionalFormatting sqref="D24">
    <cfRule type="containsText" dxfId="0" priority="1" operator="containsText" text="negative">
      <formula>NOT(ISERROR(SEARCH("negative",D24)))</formula>
    </cfRule>
  </conditionalFormatting>
  <pageMargins left="0.7" right="0.7" top="0.75" bottom="0.75" header="0.3" footer="0.3"/>
  <pageSetup paperSize="9" scale="7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Исходные данные общие</vt:lpstr>
      <vt:lpstr>Исходные данные тепло</vt:lpstr>
      <vt:lpstr>Расчет тарифа тепло</vt:lpstr>
      <vt:lpstr>Амортизация тепло</vt:lpstr>
      <vt:lpstr>Кредит тепло</vt:lpstr>
      <vt:lpstr>Бюджетная эффективность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2021-03-16T14:00:19Z</dcterms:modified>
</cp:coreProperties>
</file>